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35" windowWidth="18195" windowHeight="11835" activeTab="3"/>
  </bookViews>
  <sheets>
    <sheet name="Enkelt-BP" sheetId="10" r:id="rId1"/>
    <sheet name="Enkelt-SP" sheetId="9" r:id="rId2"/>
    <sheet name="Enkelt-GP" sheetId="8" r:id="rId3"/>
    <sheet name="Par-BP" sheetId="7" r:id="rId4"/>
    <sheet name="Par-SP" sheetId="2" r:id="rId5"/>
    <sheet name="Par-GP" sheetId="6" r:id="rId6"/>
    <sheet name="Minihold-BP" sheetId="5" r:id="rId7"/>
    <sheet name="Minihold-SP" sheetId="4" r:id="rId8"/>
    <sheet name="Minihold-GP" sheetId="3" r:id="rId9"/>
    <sheet name="Hold-BP" sheetId="13" r:id="rId10"/>
    <sheet name="Hold-SP" sheetId="12" r:id="rId11"/>
    <sheet name="Hold-GP" sheetId="11" r:id="rId12"/>
  </sheets>
  <definedNames>
    <definedName name="_xlnm.Print_Area" localSheetId="0">'Enkelt-BP'!$A$2:$AI$32</definedName>
    <definedName name="_xlnm.Print_Area" localSheetId="2">'Enkelt-GP'!$A$2:$AI$32</definedName>
    <definedName name="_xlnm.Print_Area" localSheetId="1">'Enkelt-SP'!$A$2:$AI$32</definedName>
    <definedName name="_xlnm.Print_Area" localSheetId="9">'Hold-BP'!$A$2:$AI$32</definedName>
    <definedName name="_xlnm.Print_Area" localSheetId="11">'Hold-GP'!$A$2:$AI$32</definedName>
    <definedName name="_xlnm.Print_Area" localSheetId="10">'Hold-SP'!$A$2:$AI$32</definedName>
    <definedName name="_xlnm.Print_Area" localSheetId="6">'Minihold-BP'!$A$2:$AI$32</definedName>
    <definedName name="_xlnm.Print_Area" localSheetId="8">'Minihold-GP'!$A$2:$AI$32</definedName>
    <definedName name="_xlnm.Print_Area" localSheetId="7">'Minihold-SP'!$A$2:$AI$32</definedName>
    <definedName name="_xlnm.Print_Area" localSheetId="3">'Par-BP'!$A$2:$AI$32</definedName>
    <definedName name="_xlnm.Print_Area" localSheetId="5">'Par-GP'!$A$2:$AI$32</definedName>
    <definedName name="_xlnm.Print_Area" localSheetId="4">'Par-SP'!$A$2:$AI$32</definedName>
  </definedNames>
  <calcPr calcId="145621"/>
</workbook>
</file>

<file path=xl/calcChain.xml><?xml version="1.0" encoding="utf-8"?>
<calcChain xmlns="http://schemas.openxmlformats.org/spreadsheetml/2006/main">
  <c r="AI26" i="13" l="1"/>
  <c r="AI25" i="13"/>
  <c r="AI24" i="13"/>
  <c r="AI23" i="13"/>
  <c r="AI22" i="13"/>
  <c r="AI19" i="13"/>
  <c r="AI18" i="13"/>
  <c r="AI17" i="13"/>
  <c r="AI16" i="13"/>
  <c r="AI13" i="13"/>
  <c r="AI12" i="13"/>
  <c r="AI11" i="13"/>
  <c r="AI8" i="13"/>
  <c r="AI7" i="13"/>
  <c r="AD4" i="13"/>
  <c r="AI4" i="13"/>
  <c r="AI4" i="12"/>
  <c r="G22" i="12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6" i="4"/>
  <c r="F25" i="4"/>
  <c r="F24" i="4"/>
  <c r="F23" i="4"/>
  <c r="F22" i="4"/>
  <c r="F19" i="4"/>
  <c r="F18" i="4"/>
  <c r="F17" i="4"/>
  <c r="F16" i="4"/>
  <c r="F13" i="4"/>
  <c r="F12" i="4"/>
  <c r="F11" i="4"/>
  <c r="F8" i="4"/>
  <c r="F7" i="4"/>
  <c r="F4" i="4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6" i="9"/>
  <c r="F25" i="9"/>
  <c r="F24" i="9"/>
  <c r="F23" i="9"/>
  <c r="F22" i="9"/>
  <c r="F19" i="9"/>
  <c r="F18" i="9"/>
  <c r="F17" i="9"/>
  <c r="F16" i="9"/>
  <c r="F13" i="9"/>
  <c r="F12" i="9"/>
  <c r="F11" i="9"/>
  <c r="F8" i="9"/>
  <c r="F7" i="9"/>
  <c r="F4" i="9"/>
  <c r="AI4" i="2" l="1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6" i="2"/>
  <c r="F25" i="2"/>
  <c r="F24" i="2"/>
  <c r="F23" i="2"/>
  <c r="F22" i="2"/>
  <c r="F19" i="2"/>
  <c r="F18" i="2"/>
  <c r="F17" i="2"/>
  <c r="F16" i="2"/>
  <c r="F13" i="2"/>
  <c r="F12" i="2"/>
  <c r="F11" i="2"/>
  <c r="F8" i="2"/>
  <c r="F7" i="2"/>
  <c r="F4" i="2"/>
  <c r="H22" i="11" l="1"/>
  <c r="F24" i="11"/>
  <c r="D4" i="10" l="1"/>
  <c r="AI4" i="10" l="1"/>
  <c r="AG4" i="10"/>
  <c r="AE4" i="10"/>
  <c r="AC4" i="10"/>
  <c r="AA4" i="10"/>
  <c r="Y4" i="10"/>
  <c r="W4" i="10"/>
  <c r="U4" i="10"/>
  <c r="S4" i="10"/>
  <c r="Q4" i="10"/>
  <c r="O4" i="10"/>
  <c r="M4" i="10"/>
  <c r="AH4" i="10"/>
  <c r="AF4" i="10"/>
  <c r="AD4" i="10"/>
  <c r="AB4" i="10"/>
  <c r="Z4" i="10"/>
  <c r="X4" i="10"/>
  <c r="V4" i="10"/>
  <c r="T4" i="10"/>
  <c r="R4" i="10"/>
  <c r="P4" i="10"/>
  <c r="N4" i="10"/>
  <c r="L4" i="10"/>
  <c r="D26" i="6"/>
  <c r="D25" i="6"/>
  <c r="D24" i="6"/>
  <c r="D23" i="6"/>
  <c r="D22" i="6"/>
  <c r="AE19" i="6"/>
  <c r="E19" i="6"/>
  <c r="D19" i="6"/>
  <c r="AE18" i="6"/>
  <c r="E18" i="6"/>
  <c r="D18" i="6"/>
  <c r="AE17" i="6"/>
  <c r="E17" i="6"/>
  <c r="D17" i="6"/>
  <c r="AE16" i="6"/>
  <c r="E16" i="6"/>
  <c r="D16" i="6"/>
  <c r="AE13" i="6"/>
  <c r="E13" i="6"/>
  <c r="D13" i="6"/>
  <c r="AE12" i="6"/>
  <c r="E12" i="6"/>
  <c r="D12" i="6"/>
  <c r="AE11" i="6"/>
  <c r="E11" i="6"/>
  <c r="D11" i="6"/>
  <c r="AE8" i="6"/>
  <c r="E8" i="6"/>
  <c r="D8" i="6"/>
  <c r="AE7" i="6"/>
  <c r="E7" i="6"/>
  <c r="D7" i="6"/>
  <c r="E4" i="6"/>
  <c r="D4" i="6"/>
  <c r="D26" i="2"/>
  <c r="D25" i="2"/>
  <c r="D24" i="2"/>
  <c r="D23" i="2"/>
  <c r="D22" i="2"/>
  <c r="D19" i="2"/>
  <c r="D18" i="2"/>
  <c r="D17" i="2"/>
  <c r="D16" i="2"/>
  <c r="D13" i="2"/>
  <c r="D12" i="2"/>
  <c r="D11" i="2"/>
  <c r="D8" i="2"/>
  <c r="D7" i="2"/>
  <c r="D4" i="2"/>
  <c r="E22" i="2" l="1"/>
  <c r="E23" i="2"/>
  <c r="E24" i="2"/>
  <c r="E25" i="2"/>
  <c r="E26" i="2"/>
  <c r="E22" i="6"/>
  <c r="E23" i="6"/>
  <c r="E24" i="6"/>
  <c r="E25" i="6"/>
  <c r="E26" i="6"/>
  <c r="E4" i="2"/>
  <c r="E7" i="2"/>
  <c r="E8" i="2"/>
  <c r="E11" i="2"/>
  <c r="E12" i="2"/>
  <c r="E13" i="2"/>
  <c r="E16" i="2"/>
  <c r="E17" i="2"/>
  <c r="E18" i="2"/>
  <c r="E19" i="2"/>
  <c r="U26" i="11" l="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D26" i="11"/>
  <c r="E26" i="11" s="1"/>
  <c r="B26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D25" i="11"/>
  <c r="E25" i="11" s="1"/>
  <c r="B25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D24" i="11"/>
  <c r="E24" i="11" s="1"/>
  <c r="B24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D23" i="11"/>
  <c r="E23" i="11" s="1"/>
  <c r="B23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G22" i="11"/>
  <c r="F22" i="11"/>
  <c r="D22" i="11"/>
  <c r="E22" i="11" s="1"/>
  <c r="B22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D19" i="11"/>
  <c r="E19" i="11" s="1"/>
  <c r="B19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D18" i="11"/>
  <c r="E18" i="11" s="1"/>
  <c r="B18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D17" i="11"/>
  <c r="E17" i="11" s="1"/>
  <c r="B17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D16" i="11"/>
  <c r="E16" i="11" s="1"/>
  <c r="B16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D13" i="11"/>
  <c r="E13" i="11" s="1"/>
  <c r="B13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D12" i="11"/>
  <c r="E12" i="11" s="1"/>
  <c r="B12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D11" i="11"/>
  <c r="E11" i="11" s="1"/>
  <c r="B11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B8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D7" i="11"/>
  <c r="E7" i="11" s="1"/>
  <c r="B7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D4" i="11"/>
  <c r="E4" i="11" s="1"/>
  <c r="B4" i="11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D26" i="12"/>
  <c r="E26" i="12" s="1"/>
  <c r="B26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D25" i="12"/>
  <c r="E25" i="12" s="1"/>
  <c r="B25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D24" i="12"/>
  <c r="E24" i="12" s="1"/>
  <c r="B24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D23" i="12"/>
  <c r="E23" i="12" s="1"/>
  <c r="B23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F22" i="12"/>
  <c r="D22" i="12"/>
  <c r="E22" i="12" s="1"/>
  <c r="B22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D19" i="12"/>
  <c r="E19" i="12" s="1"/>
  <c r="B19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D18" i="12"/>
  <c r="E18" i="12" s="1"/>
  <c r="B18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D17" i="12"/>
  <c r="E17" i="12" s="1"/>
  <c r="B17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D16" i="12"/>
  <c r="E16" i="12" s="1"/>
  <c r="B16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D13" i="12"/>
  <c r="E13" i="12" s="1"/>
  <c r="B13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D12" i="12"/>
  <c r="E12" i="12" s="1"/>
  <c r="B12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D11" i="12"/>
  <c r="E11" i="12" s="1"/>
  <c r="B11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D8" i="12"/>
  <c r="E8" i="12" s="1"/>
  <c r="B8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D7" i="12"/>
  <c r="E7" i="12" s="1"/>
  <c r="B7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D4" i="12"/>
  <c r="E4" i="12" s="1"/>
  <c r="B4" i="12"/>
  <c r="D26" i="13"/>
  <c r="AG26" i="13" s="1"/>
  <c r="B26" i="13"/>
  <c r="D25" i="13"/>
  <c r="AG25" i="13" s="1"/>
  <c r="B25" i="13"/>
  <c r="D24" i="13"/>
  <c r="AG24" i="13" s="1"/>
  <c r="B24" i="13"/>
  <c r="D23" i="13"/>
  <c r="AG23" i="13" s="1"/>
  <c r="B23" i="13"/>
  <c r="D22" i="13"/>
  <c r="F22" i="13" s="1"/>
  <c r="B22" i="13"/>
  <c r="D19" i="13"/>
  <c r="X19" i="13" s="1"/>
  <c r="B19" i="13"/>
  <c r="D18" i="13"/>
  <c r="AF18" i="13" s="1"/>
  <c r="B18" i="13"/>
  <c r="D17" i="13"/>
  <c r="AF17" i="13" s="1"/>
  <c r="B17" i="13"/>
  <c r="D16" i="13"/>
  <c r="AF16" i="13" s="1"/>
  <c r="B16" i="13"/>
  <c r="D13" i="13"/>
  <c r="AF13" i="13" s="1"/>
  <c r="B13" i="13"/>
  <c r="D12" i="13"/>
  <c r="AF12" i="13" s="1"/>
  <c r="B12" i="13"/>
  <c r="D11" i="13"/>
  <c r="AF11" i="13" s="1"/>
  <c r="B11" i="13"/>
  <c r="D8" i="13"/>
  <c r="AF8" i="13" s="1"/>
  <c r="B8" i="13"/>
  <c r="D7" i="13"/>
  <c r="AF7" i="13" s="1"/>
  <c r="B7" i="13"/>
  <c r="D4" i="13"/>
  <c r="AF4" i="13" s="1"/>
  <c r="AG22" i="13" l="1"/>
  <c r="I17" i="13"/>
  <c r="Q17" i="13"/>
  <c r="Y17" i="13"/>
  <c r="AG17" i="13"/>
  <c r="I19" i="13"/>
  <c r="T19" i="13"/>
  <c r="E17" i="13"/>
  <c r="M17" i="13"/>
  <c r="U17" i="13"/>
  <c r="AC17" i="13"/>
  <c r="E19" i="13"/>
  <c r="M19" i="13"/>
  <c r="AB19" i="13"/>
  <c r="I11" i="13"/>
  <c r="Q11" i="13"/>
  <c r="Y11" i="13"/>
  <c r="AG11" i="13"/>
  <c r="I13" i="13"/>
  <c r="Q13" i="13"/>
  <c r="Y13" i="13"/>
  <c r="AG13" i="13"/>
  <c r="E11" i="13"/>
  <c r="M11" i="13"/>
  <c r="U11" i="13"/>
  <c r="AC11" i="13"/>
  <c r="E13" i="13"/>
  <c r="M13" i="13"/>
  <c r="U13" i="13"/>
  <c r="AC13" i="13"/>
  <c r="I7" i="13"/>
  <c r="Q7" i="13"/>
  <c r="Y7" i="13"/>
  <c r="AG7" i="13"/>
  <c r="E7" i="13"/>
  <c r="M7" i="13"/>
  <c r="U7" i="13"/>
  <c r="AC7" i="13"/>
  <c r="AI7" i="12"/>
  <c r="AI4" i="11"/>
  <c r="AI13" i="11"/>
  <c r="AI18" i="11"/>
  <c r="AI19" i="11"/>
  <c r="AI7" i="11"/>
  <c r="AI8" i="11"/>
  <c r="AI11" i="11"/>
  <c r="AI12" i="11"/>
  <c r="AI16" i="11"/>
  <c r="AI17" i="11"/>
  <c r="AI22" i="11"/>
  <c r="AI23" i="11"/>
  <c r="AI24" i="11"/>
  <c r="AI25" i="11"/>
  <c r="AI26" i="11"/>
  <c r="AI8" i="12"/>
  <c r="AI11" i="12"/>
  <c r="AI12" i="12"/>
  <c r="AI13" i="12"/>
  <c r="AI16" i="12"/>
  <c r="AI17" i="12"/>
  <c r="AI18" i="12"/>
  <c r="AI19" i="12"/>
  <c r="AI22" i="12"/>
  <c r="AI23" i="12"/>
  <c r="AI24" i="12"/>
  <c r="AI25" i="12"/>
  <c r="AI26" i="12"/>
  <c r="E4" i="13"/>
  <c r="I4" i="13"/>
  <c r="M4" i="13"/>
  <c r="Q4" i="13"/>
  <c r="U4" i="13"/>
  <c r="Y4" i="13"/>
  <c r="AC4" i="13"/>
  <c r="AG4" i="13"/>
  <c r="G7" i="13"/>
  <c r="K7" i="13"/>
  <c r="O7" i="13"/>
  <c r="S7" i="13"/>
  <c r="W7" i="13"/>
  <c r="AA7" i="13"/>
  <c r="AE7" i="13"/>
  <c r="E8" i="13"/>
  <c r="I8" i="13"/>
  <c r="M8" i="13"/>
  <c r="Q8" i="13"/>
  <c r="U8" i="13"/>
  <c r="Y8" i="13"/>
  <c r="AC8" i="13"/>
  <c r="AG8" i="13"/>
  <c r="G11" i="13"/>
  <c r="K11" i="13"/>
  <c r="O11" i="13"/>
  <c r="S11" i="13"/>
  <c r="W11" i="13"/>
  <c r="AA11" i="13"/>
  <c r="AE11" i="13"/>
  <c r="E12" i="13"/>
  <c r="I12" i="13"/>
  <c r="M12" i="13"/>
  <c r="Q12" i="13"/>
  <c r="U12" i="13"/>
  <c r="Y12" i="13"/>
  <c r="AC12" i="13"/>
  <c r="AG12" i="13"/>
  <c r="G13" i="13"/>
  <c r="K13" i="13"/>
  <c r="O13" i="13"/>
  <c r="S13" i="13"/>
  <c r="W13" i="13"/>
  <c r="AA13" i="13"/>
  <c r="AE13" i="13"/>
  <c r="E16" i="13"/>
  <c r="I16" i="13"/>
  <c r="M16" i="13"/>
  <c r="Q16" i="13"/>
  <c r="U16" i="13"/>
  <c r="Y16" i="13"/>
  <c r="AC16" i="13"/>
  <c r="AG16" i="13"/>
  <c r="G17" i="13"/>
  <c r="K17" i="13"/>
  <c r="O17" i="13"/>
  <c r="S17" i="13"/>
  <c r="W17" i="13"/>
  <c r="AA17" i="13"/>
  <c r="AE17" i="13"/>
  <c r="E18" i="13"/>
  <c r="I18" i="13"/>
  <c r="M18" i="13"/>
  <c r="Q18" i="13"/>
  <c r="U18" i="13"/>
  <c r="Y18" i="13"/>
  <c r="AC18" i="13"/>
  <c r="AG18" i="13"/>
  <c r="G19" i="13"/>
  <c r="K19" i="13"/>
  <c r="P19" i="13"/>
  <c r="G4" i="13"/>
  <c r="K4" i="13"/>
  <c r="O4" i="13"/>
  <c r="S4" i="13"/>
  <c r="W4" i="13"/>
  <c r="AA4" i="13"/>
  <c r="AE4" i="13"/>
  <c r="G8" i="13"/>
  <c r="K8" i="13"/>
  <c r="O8" i="13"/>
  <c r="S8" i="13"/>
  <c r="W8" i="13"/>
  <c r="AA8" i="13"/>
  <c r="AE8" i="13"/>
  <c r="G12" i="13"/>
  <c r="K12" i="13"/>
  <c r="O12" i="13"/>
  <c r="S12" i="13"/>
  <c r="W12" i="13"/>
  <c r="AA12" i="13"/>
  <c r="AE12" i="13"/>
  <c r="G16" i="13"/>
  <c r="K16" i="13"/>
  <c r="O16" i="13"/>
  <c r="S16" i="13"/>
  <c r="W16" i="13"/>
  <c r="AA16" i="13"/>
  <c r="AE16" i="13"/>
  <c r="G18" i="13"/>
  <c r="K18" i="13"/>
  <c r="O18" i="13"/>
  <c r="S18" i="13"/>
  <c r="W18" i="13"/>
  <c r="AA18" i="13"/>
  <c r="AE18" i="13"/>
  <c r="F4" i="13"/>
  <c r="H4" i="13"/>
  <c r="J4" i="13"/>
  <c r="L4" i="13"/>
  <c r="N4" i="13"/>
  <c r="P4" i="13"/>
  <c r="R4" i="13"/>
  <c r="T4" i="13"/>
  <c r="V4" i="13"/>
  <c r="X4" i="13"/>
  <c r="Z4" i="13"/>
  <c r="AB4" i="13"/>
  <c r="F7" i="13"/>
  <c r="H7" i="13"/>
  <c r="J7" i="13"/>
  <c r="L7" i="13"/>
  <c r="N7" i="13"/>
  <c r="P7" i="13"/>
  <c r="R7" i="13"/>
  <c r="T7" i="13"/>
  <c r="V7" i="13"/>
  <c r="X7" i="13"/>
  <c r="Z7" i="13"/>
  <c r="AB7" i="13"/>
  <c r="AD7" i="13"/>
  <c r="F8" i="13"/>
  <c r="H8" i="13"/>
  <c r="J8" i="13"/>
  <c r="L8" i="13"/>
  <c r="N8" i="13"/>
  <c r="P8" i="13"/>
  <c r="R8" i="13"/>
  <c r="T8" i="13"/>
  <c r="V8" i="13"/>
  <c r="X8" i="13"/>
  <c r="Z8" i="13"/>
  <c r="AB8" i="13"/>
  <c r="AD8" i="13"/>
  <c r="F11" i="13"/>
  <c r="H11" i="13"/>
  <c r="J11" i="13"/>
  <c r="L11" i="13"/>
  <c r="N11" i="13"/>
  <c r="P11" i="13"/>
  <c r="R11" i="13"/>
  <c r="T11" i="13"/>
  <c r="V11" i="13"/>
  <c r="X11" i="13"/>
  <c r="Z11" i="13"/>
  <c r="AB11" i="13"/>
  <c r="AD11" i="13"/>
  <c r="F12" i="13"/>
  <c r="H12" i="13"/>
  <c r="J12" i="13"/>
  <c r="L12" i="13"/>
  <c r="N12" i="13"/>
  <c r="P12" i="13"/>
  <c r="R12" i="13"/>
  <c r="T12" i="13"/>
  <c r="V12" i="13"/>
  <c r="X12" i="13"/>
  <c r="Z12" i="13"/>
  <c r="AB12" i="13"/>
  <c r="AD12" i="13"/>
  <c r="F13" i="13"/>
  <c r="H13" i="13"/>
  <c r="J13" i="13"/>
  <c r="L13" i="13"/>
  <c r="N13" i="13"/>
  <c r="P13" i="13"/>
  <c r="R13" i="13"/>
  <c r="T13" i="13"/>
  <c r="V13" i="13"/>
  <c r="X13" i="13"/>
  <c r="Z13" i="13"/>
  <c r="AB13" i="13"/>
  <c r="AD13" i="13"/>
  <c r="F16" i="13"/>
  <c r="H16" i="13"/>
  <c r="J16" i="13"/>
  <c r="L16" i="13"/>
  <c r="N16" i="13"/>
  <c r="P16" i="13"/>
  <c r="R16" i="13"/>
  <c r="T16" i="13"/>
  <c r="V16" i="13"/>
  <c r="X16" i="13"/>
  <c r="Z16" i="13"/>
  <c r="AB16" i="13"/>
  <c r="AD16" i="13"/>
  <c r="F17" i="13"/>
  <c r="H17" i="13"/>
  <c r="J17" i="13"/>
  <c r="L17" i="13"/>
  <c r="N17" i="13"/>
  <c r="P17" i="13"/>
  <c r="R17" i="13"/>
  <c r="T17" i="13"/>
  <c r="V17" i="13"/>
  <c r="X17" i="13"/>
  <c r="Z17" i="13"/>
  <c r="AB17" i="13"/>
  <c r="AD17" i="13"/>
  <c r="F18" i="13"/>
  <c r="H18" i="13"/>
  <c r="J18" i="13"/>
  <c r="L18" i="13"/>
  <c r="N18" i="13"/>
  <c r="P18" i="13"/>
  <c r="R18" i="13"/>
  <c r="T18" i="13"/>
  <c r="V18" i="13"/>
  <c r="X18" i="13"/>
  <c r="Z18" i="13"/>
  <c r="AB18" i="13"/>
  <c r="AD18" i="13"/>
  <c r="AG19" i="13"/>
  <c r="AE19" i="13"/>
  <c r="AC19" i="13"/>
  <c r="AA19" i="13"/>
  <c r="Y19" i="13"/>
  <c r="W19" i="13"/>
  <c r="U19" i="13"/>
  <c r="S19" i="13"/>
  <c r="Q19" i="13"/>
  <c r="O19" i="13"/>
  <c r="AF19" i="13"/>
  <c r="AD19" i="13"/>
  <c r="F19" i="13"/>
  <c r="H19" i="13"/>
  <c r="J19" i="13"/>
  <c r="L19" i="13"/>
  <c r="N19" i="13"/>
  <c r="R19" i="13"/>
  <c r="V19" i="13"/>
  <c r="Z19" i="13"/>
  <c r="H22" i="13"/>
  <c r="J22" i="13"/>
  <c r="L22" i="13"/>
  <c r="N22" i="13"/>
  <c r="P22" i="13"/>
  <c r="R22" i="13"/>
  <c r="T22" i="13"/>
  <c r="V22" i="13"/>
  <c r="X22" i="13"/>
  <c r="Z22" i="13"/>
  <c r="AB22" i="13"/>
  <c r="AD22" i="13"/>
  <c r="AF22" i="13"/>
  <c r="F23" i="13"/>
  <c r="H23" i="13"/>
  <c r="J23" i="13"/>
  <c r="L23" i="13"/>
  <c r="N23" i="13"/>
  <c r="P23" i="13"/>
  <c r="R23" i="13"/>
  <c r="T23" i="13"/>
  <c r="V23" i="13"/>
  <c r="X23" i="13"/>
  <c r="Z23" i="13"/>
  <c r="AB23" i="13"/>
  <c r="AD23" i="13"/>
  <c r="AF23" i="13"/>
  <c r="F24" i="13"/>
  <c r="H24" i="13"/>
  <c r="J24" i="13"/>
  <c r="L24" i="13"/>
  <c r="N24" i="13"/>
  <c r="P24" i="13"/>
  <c r="R24" i="13"/>
  <c r="T24" i="13"/>
  <c r="V24" i="13"/>
  <c r="X24" i="13"/>
  <c r="Z24" i="13"/>
  <c r="AB24" i="13"/>
  <c r="AD24" i="13"/>
  <c r="AF24" i="13"/>
  <c r="F25" i="13"/>
  <c r="H25" i="13"/>
  <c r="J25" i="13"/>
  <c r="L25" i="13"/>
  <c r="N25" i="13"/>
  <c r="P25" i="13"/>
  <c r="R25" i="13"/>
  <c r="T25" i="13"/>
  <c r="V25" i="13"/>
  <c r="X25" i="13"/>
  <c r="Z25" i="13"/>
  <c r="AB25" i="13"/>
  <c r="AD25" i="13"/>
  <c r="AF25" i="13"/>
  <c r="F26" i="13"/>
  <c r="H26" i="13"/>
  <c r="J26" i="13"/>
  <c r="L26" i="13"/>
  <c r="N26" i="13"/>
  <c r="P26" i="13"/>
  <c r="R26" i="13"/>
  <c r="T26" i="13"/>
  <c r="V26" i="13"/>
  <c r="X26" i="13"/>
  <c r="Z26" i="13"/>
  <c r="AB26" i="13"/>
  <c r="AD26" i="13"/>
  <c r="AF26" i="13"/>
  <c r="E22" i="13"/>
  <c r="G22" i="13"/>
  <c r="I22" i="13"/>
  <c r="K22" i="13"/>
  <c r="M22" i="13"/>
  <c r="O22" i="13"/>
  <c r="Q22" i="13"/>
  <c r="S22" i="13"/>
  <c r="U22" i="13"/>
  <c r="W22" i="13"/>
  <c r="Y22" i="13"/>
  <c r="AA22" i="13"/>
  <c r="AC22" i="13"/>
  <c r="AE22" i="13"/>
  <c r="E23" i="13"/>
  <c r="G23" i="13"/>
  <c r="I23" i="13"/>
  <c r="K23" i="13"/>
  <c r="M23" i="13"/>
  <c r="O23" i="13"/>
  <c r="Q23" i="13"/>
  <c r="S23" i="13"/>
  <c r="U23" i="13"/>
  <c r="W23" i="13"/>
  <c r="Y23" i="13"/>
  <c r="AA23" i="13"/>
  <c r="AC23" i="13"/>
  <c r="AE23" i="13"/>
  <c r="E24" i="13"/>
  <c r="G24" i="13"/>
  <c r="I24" i="13"/>
  <c r="K24" i="13"/>
  <c r="M24" i="13"/>
  <c r="O24" i="13"/>
  <c r="Q24" i="13"/>
  <c r="S24" i="13"/>
  <c r="U24" i="13"/>
  <c r="W24" i="13"/>
  <c r="Y24" i="13"/>
  <c r="AA24" i="13"/>
  <c r="AC24" i="13"/>
  <c r="AE24" i="13"/>
  <c r="E25" i="13"/>
  <c r="G25" i="13"/>
  <c r="I25" i="13"/>
  <c r="K25" i="13"/>
  <c r="M25" i="13"/>
  <c r="O25" i="13"/>
  <c r="Q25" i="13"/>
  <c r="S25" i="13"/>
  <c r="U25" i="13"/>
  <c r="W25" i="13"/>
  <c r="Y25" i="13"/>
  <c r="AA25" i="13"/>
  <c r="AC25" i="13"/>
  <c r="AE25" i="13"/>
  <c r="E26" i="13"/>
  <c r="G26" i="13"/>
  <c r="I26" i="13"/>
  <c r="K26" i="13"/>
  <c r="M26" i="13"/>
  <c r="O26" i="13"/>
  <c r="Q26" i="13"/>
  <c r="S26" i="13"/>
  <c r="U26" i="13"/>
  <c r="W26" i="13"/>
  <c r="Y26" i="13"/>
  <c r="AA26" i="13"/>
  <c r="AC26" i="13"/>
  <c r="AE26" i="13"/>
  <c r="D8" i="10" l="1"/>
  <c r="D7" i="10"/>
  <c r="D26" i="5"/>
  <c r="D25" i="5"/>
  <c r="D24" i="5"/>
  <c r="D23" i="5"/>
  <c r="D22" i="5"/>
  <c r="D19" i="5"/>
  <c r="D18" i="5"/>
  <c r="D17" i="5"/>
  <c r="D16" i="5"/>
  <c r="D13" i="5"/>
  <c r="D12" i="5"/>
  <c r="D11" i="5"/>
  <c r="D8" i="5"/>
  <c r="D7" i="5"/>
  <c r="D4" i="5"/>
  <c r="D26" i="7"/>
  <c r="D25" i="7"/>
  <c r="D24" i="7"/>
  <c r="D23" i="7"/>
  <c r="D22" i="7"/>
  <c r="D19" i="7"/>
  <c r="D18" i="7"/>
  <c r="D17" i="7"/>
  <c r="D16" i="7"/>
  <c r="D13" i="7"/>
  <c r="D12" i="7"/>
  <c r="D11" i="7"/>
  <c r="D8" i="7"/>
  <c r="D7" i="7"/>
  <c r="D4" i="7"/>
  <c r="D26" i="3"/>
  <c r="D25" i="3"/>
  <c r="D24" i="3"/>
  <c r="D23" i="3"/>
  <c r="D22" i="3"/>
  <c r="D19" i="3"/>
  <c r="D18" i="3"/>
  <c r="D17" i="3"/>
  <c r="D16" i="3"/>
  <c r="D13" i="3"/>
  <c r="D12" i="3"/>
  <c r="D11" i="3"/>
  <c r="D8" i="3"/>
  <c r="D7" i="3"/>
  <c r="D4" i="3"/>
  <c r="D26" i="4"/>
  <c r="D25" i="4"/>
  <c r="D24" i="4"/>
  <c r="D23" i="4"/>
  <c r="D22" i="4"/>
  <c r="D19" i="4"/>
  <c r="D18" i="4"/>
  <c r="D17" i="4"/>
  <c r="D16" i="4"/>
  <c r="D13" i="4"/>
  <c r="D12" i="4"/>
  <c r="D11" i="4"/>
  <c r="D8" i="4"/>
  <c r="D7" i="4"/>
  <c r="D26" i="8"/>
  <c r="D25" i="8"/>
  <c r="D24" i="8"/>
  <c r="D23" i="8"/>
  <c r="D22" i="8"/>
  <c r="D19" i="8"/>
  <c r="D18" i="8"/>
  <c r="D17" i="8"/>
  <c r="D16" i="8"/>
  <c r="D13" i="8"/>
  <c r="D12" i="8"/>
  <c r="D11" i="8"/>
  <c r="D8" i="8"/>
  <c r="D7" i="8"/>
  <c r="D4" i="8"/>
  <c r="D26" i="10"/>
  <c r="D25" i="10"/>
  <c r="D24" i="10"/>
  <c r="D23" i="10"/>
  <c r="D22" i="10"/>
  <c r="D19" i="10"/>
  <c r="D18" i="10"/>
  <c r="D17" i="10"/>
  <c r="D16" i="10"/>
  <c r="D13" i="10"/>
  <c r="D12" i="10"/>
  <c r="D26" i="9"/>
  <c r="E26" i="9" s="1"/>
  <c r="D25" i="9"/>
  <c r="E25" i="9" s="1"/>
  <c r="D24" i="9"/>
  <c r="E24" i="9" s="1"/>
  <c r="D23" i="9"/>
  <c r="E23" i="9" s="1"/>
  <c r="D22" i="9"/>
  <c r="E22" i="9" s="1"/>
  <c r="D19" i="9"/>
  <c r="E19" i="9" s="1"/>
  <c r="D18" i="9"/>
  <c r="E18" i="9" s="1"/>
  <c r="D17" i="9"/>
  <c r="E17" i="9" s="1"/>
  <c r="D16" i="9"/>
  <c r="E16" i="9" s="1"/>
  <c r="D13" i="9"/>
  <c r="E13" i="9" s="1"/>
  <c r="D12" i="9"/>
  <c r="E12" i="9" s="1"/>
  <c r="D11" i="9"/>
  <c r="E11" i="9" s="1"/>
  <c r="D8" i="9"/>
  <c r="E8" i="9" s="1"/>
  <c r="D7" i="9"/>
  <c r="E7" i="9" s="1"/>
  <c r="D4" i="9"/>
  <c r="E4" i="9" s="1"/>
  <c r="D11" i="10"/>
  <c r="AI23" i="3" l="1"/>
  <c r="AG23" i="3"/>
  <c r="AE23" i="3"/>
  <c r="AC23" i="3"/>
  <c r="AA23" i="3"/>
  <c r="Y23" i="3"/>
  <c r="W23" i="3"/>
  <c r="U23" i="3"/>
  <c r="S23" i="3"/>
  <c r="Q23" i="3"/>
  <c r="O23" i="3"/>
  <c r="M23" i="3"/>
  <c r="AH23" i="3"/>
  <c r="AF23" i="3"/>
  <c r="AD23" i="3"/>
  <c r="AB23" i="3"/>
  <c r="Z23" i="3"/>
  <c r="X23" i="3"/>
  <c r="V23" i="3"/>
  <c r="T23" i="3"/>
  <c r="R23" i="3"/>
  <c r="P23" i="3"/>
  <c r="N23" i="3"/>
  <c r="L23" i="3"/>
  <c r="AI22" i="3"/>
  <c r="AG22" i="3"/>
  <c r="AE22" i="3"/>
  <c r="AC22" i="3"/>
  <c r="AA22" i="3"/>
  <c r="Y22" i="3"/>
  <c r="W22" i="3"/>
  <c r="U22" i="3"/>
  <c r="S22" i="3"/>
  <c r="Q22" i="3"/>
  <c r="O22" i="3"/>
  <c r="M22" i="3"/>
  <c r="AH22" i="3"/>
  <c r="AF22" i="3"/>
  <c r="AD22" i="3"/>
  <c r="AB22" i="3"/>
  <c r="Z22" i="3"/>
  <c r="X22" i="3"/>
  <c r="V22" i="3"/>
  <c r="T22" i="3"/>
  <c r="R22" i="3"/>
  <c r="P22" i="3"/>
  <c r="N22" i="3"/>
  <c r="L22" i="3"/>
  <c r="AI25" i="3"/>
  <c r="AG25" i="3"/>
  <c r="AE25" i="3"/>
  <c r="AC25" i="3"/>
  <c r="AA25" i="3"/>
  <c r="Y25" i="3"/>
  <c r="W25" i="3"/>
  <c r="U25" i="3"/>
  <c r="S25" i="3"/>
  <c r="Q25" i="3"/>
  <c r="O25" i="3"/>
  <c r="M25" i="3"/>
  <c r="K25" i="3"/>
  <c r="AH25" i="3"/>
  <c r="AF25" i="3"/>
  <c r="AD25" i="3"/>
  <c r="AB25" i="3"/>
  <c r="Z25" i="3"/>
  <c r="X25" i="3"/>
  <c r="V25" i="3"/>
  <c r="T25" i="3"/>
  <c r="R25" i="3"/>
  <c r="P25" i="3"/>
  <c r="N25" i="3"/>
  <c r="L25" i="3"/>
  <c r="AI24" i="3"/>
  <c r="AG24" i="3"/>
  <c r="AE24" i="3"/>
  <c r="AC24" i="3"/>
  <c r="AA24" i="3"/>
  <c r="Y24" i="3"/>
  <c r="W24" i="3"/>
  <c r="U24" i="3"/>
  <c r="S24" i="3"/>
  <c r="Q24" i="3"/>
  <c r="O24" i="3"/>
  <c r="M24" i="3"/>
  <c r="K24" i="3"/>
  <c r="AH24" i="3"/>
  <c r="AF24" i="3"/>
  <c r="AD24" i="3"/>
  <c r="AB24" i="3"/>
  <c r="Z24" i="3"/>
  <c r="X24" i="3"/>
  <c r="V24" i="3"/>
  <c r="T24" i="3"/>
  <c r="R24" i="3"/>
  <c r="P24" i="3"/>
  <c r="N24" i="3"/>
  <c r="L24" i="3"/>
  <c r="AI26" i="3"/>
  <c r="AG26" i="3"/>
  <c r="AE26" i="3"/>
  <c r="AC26" i="3"/>
  <c r="AA26" i="3"/>
  <c r="Y26" i="3"/>
  <c r="W26" i="3"/>
  <c r="U26" i="3"/>
  <c r="S26" i="3"/>
  <c r="Q26" i="3"/>
  <c r="O26" i="3"/>
  <c r="M26" i="3"/>
  <c r="K26" i="3"/>
  <c r="AH26" i="3"/>
  <c r="AF26" i="3"/>
  <c r="AD26" i="3"/>
  <c r="AB26" i="3"/>
  <c r="Z26" i="3"/>
  <c r="X26" i="3"/>
  <c r="V26" i="3"/>
  <c r="T26" i="3"/>
  <c r="R26" i="3"/>
  <c r="P26" i="3"/>
  <c r="N26" i="3"/>
  <c r="L26" i="3"/>
  <c r="J26" i="3"/>
  <c r="D4" i="4"/>
  <c r="E19" i="5" l="1"/>
  <c r="E18" i="5"/>
  <c r="E17" i="5"/>
  <c r="E16" i="5"/>
  <c r="E13" i="10"/>
  <c r="E12" i="10"/>
  <c r="E11" i="10"/>
  <c r="E8" i="10"/>
  <c r="E7" i="10"/>
  <c r="E4" i="10"/>
  <c r="E19" i="8"/>
  <c r="E18" i="8"/>
  <c r="E17" i="8"/>
  <c r="E16" i="8"/>
  <c r="E13" i="8"/>
  <c r="E12" i="8"/>
  <c r="E11" i="8"/>
  <c r="E8" i="8"/>
  <c r="E7" i="8"/>
  <c r="E4" i="8"/>
  <c r="K4" i="10" l="1"/>
  <c r="J4" i="10"/>
  <c r="I4" i="10"/>
  <c r="H4" i="10"/>
  <c r="G4" i="10"/>
  <c r="F4" i="10"/>
  <c r="E4" i="5"/>
  <c r="E7" i="5"/>
  <c r="E8" i="5"/>
  <c r="E11" i="5"/>
  <c r="E12" i="5"/>
  <c r="E13" i="5"/>
  <c r="E22" i="5"/>
  <c r="E23" i="5"/>
  <c r="E24" i="5"/>
  <c r="E25" i="5"/>
  <c r="E26" i="5"/>
  <c r="E16" i="10"/>
  <c r="E17" i="10"/>
  <c r="E18" i="10"/>
  <c r="E19" i="10"/>
  <c r="E22" i="10"/>
  <c r="E23" i="10"/>
  <c r="E24" i="10"/>
  <c r="E25" i="10"/>
  <c r="E26" i="10"/>
  <c r="E4" i="7"/>
  <c r="E7" i="7"/>
  <c r="E8" i="7"/>
  <c r="E11" i="7"/>
  <c r="E12" i="7"/>
  <c r="E13" i="7"/>
  <c r="E16" i="7"/>
  <c r="E17" i="7"/>
  <c r="E18" i="7"/>
  <c r="E19" i="7"/>
  <c r="E22" i="7"/>
  <c r="E23" i="7"/>
  <c r="E24" i="7"/>
  <c r="E25" i="7"/>
  <c r="E26" i="7"/>
  <c r="E22" i="8"/>
  <c r="E23" i="8"/>
  <c r="E24" i="8"/>
  <c r="E25" i="8"/>
  <c r="E26" i="8"/>
  <c r="E4" i="3"/>
  <c r="E7" i="3"/>
  <c r="E8" i="3"/>
  <c r="E11" i="3"/>
  <c r="E12" i="3"/>
  <c r="E13" i="3"/>
  <c r="E16" i="3"/>
  <c r="E17" i="3"/>
  <c r="E18" i="3"/>
  <c r="E19" i="3"/>
  <c r="E22" i="3"/>
  <c r="E23" i="3"/>
  <c r="E24" i="3"/>
  <c r="E25" i="3"/>
  <c r="E26" i="3"/>
  <c r="E7" i="4"/>
  <c r="E11" i="4"/>
  <c r="E16" i="4"/>
  <c r="E17" i="4"/>
  <c r="E18" i="4"/>
  <c r="E19" i="4"/>
  <c r="E12" i="4"/>
  <c r="E13" i="4"/>
  <c r="E8" i="4"/>
  <c r="E4" i="4"/>
  <c r="E22" i="4"/>
  <c r="E23" i="4"/>
  <c r="E24" i="4"/>
  <c r="E25" i="4"/>
  <c r="E26" i="4"/>
  <c r="K23" i="3" l="1"/>
  <c r="J23" i="3"/>
  <c r="K22" i="3"/>
  <c r="J22" i="3"/>
  <c r="I23" i="3"/>
  <c r="F23" i="3"/>
  <c r="G23" i="3"/>
  <c r="H23" i="3"/>
  <c r="I22" i="3"/>
  <c r="F22" i="3"/>
  <c r="G22" i="3"/>
  <c r="H22" i="3"/>
  <c r="I25" i="3"/>
  <c r="J25" i="3"/>
  <c r="F25" i="3"/>
  <c r="G25" i="3"/>
  <c r="H25" i="3"/>
  <c r="I26" i="3"/>
  <c r="F26" i="3"/>
  <c r="G26" i="3"/>
  <c r="H26" i="3"/>
  <c r="I24" i="3"/>
  <c r="J24" i="3"/>
  <c r="F24" i="3"/>
  <c r="G24" i="3"/>
  <c r="H24" i="3"/>
</calcChain>
</file>

<file path=xl/sharedStrings.xml><?xml version="1.0" encoding="utf-8"?>
<sst xmlns="http://schemas.openxmlformats.org/spreadsheetml/2006/main" count="562" uniqueCount="55">
  <si>
    <t>Beregning af sølvpoint i parturneringer</t>
  </si>
  <si>
    <t>Antal deltagere =</t>
  </si>
  <si>
    <t>Antal runder i alt =</t>
  </si>
  <si>
    <t>Turneringsarrangør=</t>
  </si>
  <si>
    <t>Antal spil/runde =</t>
  </si>
  <si>
    <t>Klub</t>
  </si>
  <si>
    <t>Distrikt</t>
  </si>
  <si>
    <t>niveau</t>
  </si>
  <si>
    <t>Styrke-</t>
  </si>
  <si>
    <t>Oversidder</t>
  </si>
  <si>
    <t>0 ↓ 1</t>
  </si>
  <si>
    <t>Styrkeniveauer=</t>
  </si>
  <si>
    <t>Q-værdi</t>
  </si>
  <si>
    <r>
      <t xml:space="preserve">Plac. </t>
    </r>
    <r>
      <rPr>
        <sz val="11"/>
        <color theme="1"/>
        <rFont val="Calibri"/>
        <family val="2"/>
      </rPr>
      <t>→</t>
    </r>
  </si>
  <si>
    <t>Vejledning:</t>
  </si>
  <si>
    <t>For det aktuelle antal rækker indsættes lovlige værdier for turneringsarrangør, antal deltagere, runder og spil/runde. Tilføj eventuelt en oversidder.</t>
  </si>
  <si>
    <t>Ved flere end 5 rækker betragtes de overskydende rækker som ekstra rækker i niveau 3. Bemærk, at rene Mitchell-turneringer betragtes som to rækker.</t>
  </si>
  <si>
    <t>Listerne viser, hvad hver spiller i parret opnår. Hver spiller har fuld deltagelse i alle sektioner.</t>
  </si>
  <si>
    <t>Beregning af sølvpoint i miniholdturneringer</t>
  </si>
  <si>
    <t>Beregning af sølvpoint i enkeltmandsturneringer</t>
  </si>
  <si>
    <t>Listerne viser, hvad hver spiller på holdet opnår. Hver spiller har fuld deltagelse i alle sektioner.</t>
  </si>
  <si>
    <t>Listerne viser, hvad hver spiller opnår. Hver spiller har fuld deltagelse i alle sektioner.</t>
  </si>
  <si>
    <t>Ved flere end 5 rækker betragtes de overskydende rækker som ekstra rækker i niveau 3.</t>
  </si>
  <si>
    <t>DBf</t>
  </si>
  <si>
    <t>Beregning af guldpoint i parturneringer</t>
  </si>
  <si>
    <t>Plac. →</t>
  </si>
  <si>
    <t>Beregning af guldpoint i miniholdturneringer</t>
  </si>
  <si>
    <t>Alle</t>
  </si>
  <si>
    <t>Beregning af bronzepoint i parturneringer</t>
  </si>
  <si>
    <t>Beregning af guldpoint i enkeltmandsturneringer</t>
  </si>
  <si>
    <t>Beregning af bronzepoint i enkeltmandsturneringer</t>
  </si>
  <si>
    <t>Beregning af bronzepoint i miniholdturneringer</t>
  </si>
  <si>
    <t>Funbridge</t>
  </si>
  <si>
    <t>dnul</t>
  </si>
  <si>
    <t>Listerne viser, hvad hver spiller opnår. Hver spiller har fuld deltagelse i alle sektioner. Hvis turneringsarrangøren = Funbridge (felt N3), vises BP-skalen for Funbridge.</t>
  </si>
  <si>
    <t>Beregning af bronzepoint i holdturneringer</t>
  </si>
  <si>
    <r>
      <t xml:space="preserve">Kamp </t>
    </r>
    <r>
      <rPr>
        <sz val="11"/>
        <color theme="1"/>
        <rFont val="Calibri"/>
        <family val="2"/>
      </rPr>
      <t>↓</t>
    </r>
  </si>
  <si>
    <t>Antal kampe i alt =</t>
  </si>
  <si>
    <t>Antal spil/kamp =</t>
  </si>
  <si>
    <t xml:space="preserve">Bonus   </t>
  </si>
  <si>
    <t>↑   Bonus    ↑</t>
  </si>
  <si>
    <r>
      <t xml:space="preserve">Kamp </t>
    </r>
    <r>
      <rPr>
        <b/>
        <sz val="11"/>
        <color theme="1"/>
        <rFont val="Calibri"/>
        <family val="2"/>
      </rPr>
      <t>↑</t>
    </r>
  </si>
  <si>
    <t>For det aktuelle antal rækker indsættes lovlige værdier for turneringsarrangør, antal deltagere, kampe og spil/kamp. Tilføj eventuelt en oversidder.</t>
  </si>
  <si>
    <r>
      <t xml:space="preserve">Ved flere end 5 rækker betragtes de ekstra rækker som niveau 6 , 7 . . med 2 BP færre end rækken lige over: Erstat styrkeniveau </t>
    </r>
    <r>
      <rPr>
        <b/>
        <sz val="11"/>
        <color rgb="FF00B050"/>
        <rFont val="Calibri"/>
        <family val="2"/>
        <scheme val="minor"/>
      </rPr>
      <t>(felt I21)</t>
    </r>
    <r>
      <rPr>
        <sz val="11"/>
        <color theme="1"/>
        <rFont val="Calibri"/>
        <family val="2"/>
        <scheme val="minor"/>
      </rPr>
      <t xml:space="preserve"> med et nyt antal og se tallene.</t>
    </r>
  </si>
  <si>
    <t>Listerne viser, hvad hver spiller på holdet opnår. Bonus kræver spillerens deltagelse i mindst halvdelen af kampene. Hver spiller har fuld deltagelse i hver af kampene.</t>
  </si>
  <si>
    <t>Alment</t>
  </si>
  <si>
    <t>Pyramide</t>
  </si>
  <si>
    <t>Festival</t>
  </si>
  <si>
    <t>Beregning af sølvpoint i holdturneringer</t>
  </si>
  <si>
    <t>Ved flere end 5 rækker betragtes de ekstra rækker alment som sideordnede på niveau 5, men på festivalen betragtes de ekstra rækker som sideordnede på niveau 3.</t>
  </si>
  <si>
    <t>Beregning af guldpoint i holdturneringer</t>
  </si>
  <si>
    <t>NB: DM for juniorpar og DM for begyndere har nogle særregler, som dette regneark ikke kan vise i alle detaljer. Se § 433B og § 433D.</t>
  </si>
  <si>
    <t>DM par</t>
  </si>
  <si>
    <t>HVIS($AD$3&gt;=$H$1;1;$AD$3/$H$1)</t>
  </si>
  <si>
    <r>
      <t>Pokalturneringen og Breddepokalen: Pokal-GP tildeles stigende runde for runde. Se hjemmesiden</t>
    </r>
    <r>
      <rPr>
        <b/>
        <sz val="11"/>
        <color theme="1"/>
        <rFont val="Calibri"/>
        <family val="2"/>
        <scheme val="minor"/>
      </rPr>
      <t xml:space="preserve"> pokal.bridge.dk.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</si>
</sst>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0"/>
    <numFmt numFmtId="166" formatCode="0.000"/>
    <numFmt numFmtId="167" formatCode="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165" fontId="0" fillId="0" borderId="0" xfId="0" applyNumberFormat="1"/>
    <xf numFmtId="165" fontId="0" fillId="0" borderId="0" xfId="0" applyNumberFormat="1" applyFont="1"/>
    <xf numFmtId="0" fontId="0" fillId="2" borderId="0" xfId="0" applyFill="1"/>
    <xf numFmtId="0" fontId="0" fillId="2" borderId="2" xfId="0" applyFill="1" applyBorder="1"/>
    <xf numFmtId="1" fontId="1" fillId="4" borderId="3" xfId="0" applyNumberFormat="1" applyFont="1" applyFill="1" applyBorder="1" applyAlignment="1">
      <alignment horizontal="center"/>
    </xf>
    <xf numFmtId="1" fontId="0" fillId="4" borderId="3" xfId="0" applyNumberFormat="1" applyFill="1" applyBorder="1"/>
    <xf numFmtId="164" fontId="0" fillId="3" borderId="4" xfId="0" applyNumberFormat="1" applyFill="1" applyBorder="1" applyAlignment="1">
      <alignment horizontal="center"/>
    </xf>
    <xf numFmtId="0" fontId="0" fillId="2" borderId="0" xfId="0" quotePrefix="1" applyFill="1"/>
    <xf numFmtId="0" fontId="0" fillId="2" borderId="1" xfId="0" applyFill="1" applyBorder="1"/>
    <xf numFmtId="0" fontId="0" fillId="2" borderId="1" xfId="0" quotePrefix="1" applyFill="1" applyBorder="1"/>
    <xf numFmtId="0" fontId="0" fillId="2" borderId="6" xfId="0" applyFill="1" applyBorder="1"/>
    <xf numFmtId="0" fontId="0" fillId="2" borderId="7" xfId="0" applyFill="1" applyBorder="1"/>
    <xf numFmtId="1" fontId="0" fillId="0" borderId="0" xfId="0" applyNumberFormat="1"/>
    <xf numFmtId="0" fontId="0" fillId="0" borderId="0" xfId="0"/>
    <xf numFmtId="1" fontId="0" fillId="0" borderId="0" xfId="0" applyNumberFormat="1" applyFill="1" applyProtection="1">
      <protection locked="0"/>
    </xf>
    <xf numFmtId="1" fontId="0" fillId="0" borderId="3" xfId="0" applyNumberFormat="1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1" fontId="2" fillId="0" borderId="0" xfId="0" applyNumberFormat="1" applyFont="1" applyFill="1" applyProtection="1">
      <protection hidden="1"/>
    </xf>
    <xf numFmtId="165" fontId="2" fillId="0" borderId="0" xfId="0" applyNumberFormat="1" applyFont="1" applyFill="1" applyProtection="1">
      <protection hidden="1"/>
    </xf>
    <xf numFmtId="0" fontId="2" fillId="0" borderId="0" xfId="0" applyFont="1" applyFill="1" applyProtection="1">
      <protection hidden="1"/>
    </xf>
    <xf numFmtId="0" fontId="2" fillId="0" borderId="0" xfId="0" applyFont="1"/>
    <xf numFmtId="165" fontId="0" fillId="7" borderId="10" xfId="0" applyNumberFormat="1" applyFill="1" applyBorder="1"/>
    <xf numFmtId="0" fontId="0" fillId="7" borderId="10" xfId="0" applyFill="1" applyBorder="1"/>
    <xf numFmtId="0" fontId="0" fillId="7" borderId="11" xfId="0" applyFill="1" applyBorder="1"/>
    <xf numFmtId="0" fontId="0" fillId="6" borderId="0" xfId="0" applyFill="1"/>
    <xf numFmtId="0" fontId="0" fillId="9" borderId="0" xfId="0" applyFill="1"/>
    <xf numFmtId="0" fontId="0" fillId="9" borderId="2" xfId="0" applyFill="1" applyBorder="1"/>
    <xf numFmtId="164" fontId="3" fillId="0" borderId="0" xfId="0" applyNumberFormat="1" applyFont="1" applyProtection="1">
      <protection hidden="1"/>
    </xf>
    <xf numFmtId="164" fontId="3" fillId="0" borderId="2" xfId="0" applyNumberFormat="1" applyFont="1" applyBorder="1" applyProtection="1">
      <protection hidden="1"/>
    </xf>
    <xf numFmtId="0" fontId="0" fillId="6" borderId="0" xfId="0" applyFill="1" applyBorder="1"/>
    <xf numFmtId="1" fontId="0" fillId="0" borderId="0" xfId="0" applyNumberFormat="1" applyFill="1" applyBorder="1" applyProtection="1">
      <protection locked="0"/>
    </xf>
    <xf numFmtId="0" fontId="0" fillId="9" borderId="0" xfId="0" applyFill="1" applyBorder="1"/>
    <xf numFmtId="2" fontId="0" fillId="0" borderId="0" xfId="0" applyNumberFormat="1"/>
    <xf numFmtId="1" fontId="0" fillId="7" borderId="10" xfId="0" applyNumberFormat="1" applyFill="1" applyBorder="1"/>
    <xf numFmtId="1" fontId="0" fillId="7" borderId="11" xfId="0" applyNumberFormat="1" applyFill="1" applyBorder="1"/>
    <xf numFmtId="1" fontId="0" fillId="6" borderId="0" xfId="0" applyNumberFormat="1" applyFill="1"/>
    <xf numFmtId="2" fontId="0" fillId="9" borderId="0" xfId="0" applyNumberFormat="1" applyFill="1"/>
    <xf numFmtId="2" fontId="0" fillId="9" borderId="2" xfId="0" applyNumberFormat="1" applyFill="1" applyBorder="1"/>
    <xf numFmtId="2" fontId="3" fillId="0" borderId="0" xfId="0" applyNumberFormat="1" applyFont="1" applyProtection="1">
      <protection hidden="1"/>
    </xf>
    <xf numFmtId="2" fontId="3" fillId="0" borderId="2" xfId="0" applyNumberFormat="1" applyFont="1" applyBorder="1" applyProtection="1">
      <protection hidden="1"/>
    </xf>
    <xf numFmtId="2" fontId="0" fillId="2" borderId="0" xfId="0" applyNumberFormat="1" applyFill="1"/>
    <xf numFmtId="2" fontId="0" fillId="2" borderId="0" xfId="0" quotePrefix="1" applyNumberFormat="1" applyFill="1"/>
    <xf numFmtId="2" fontId="0" fillId="2" borderId="2" xfId="0" applyNumberFormat="1" applyFill="1" applyBorder="1"/>
    <xf numFmtId="2" fontId="0" fillId="2" borderId="1" xfId="0" applyNumberFormat="1" applyFill="1" applyBorder="1"/>
    <xf numFmtId="2" fontId="0" fillId="2" borderId="1" xfId="0" quotePrefix="1" applyNumberFormat="1" applyFill="1" applyBorder="1"/>
    <xf numFmtId="2" fontId="0" fillId="2" borderId="6" xfId="0" applyNumberFormat="1" applyFill="1" applyBorder="1"/>
    <xf numFmtId="1" fontId="3" fillId="0" borderId="0" xfId="0" applyNumberFormat="1" applyFont="1" applyProtection="1">
      <protection hidden="1"/>
    </xf>
    <xf numFmtId="1" fontId="3" fillId="0" borderId="2" xfId="0" applyNumberFormat="1" applyFont="1" applyBorder="1" applyProtection="1">
      <protection hidden="1"/>
    </xf>
    <xf numFmtId="1" fontId="0" fillId="2" borderId="0" xfId="0" applyNumberFormat="1" applyFill="1"/>
    <xf numFmtId="1" fontId="0" fillId="2" borderId="0" xfId="0" quotePrefix="1" applyNumberFormat="1" applyFill="1"/>
    <xf numFmtId="1" fontId="0" fillId="2" borderId="2" xfId="0" applyNumberFormat="1" applyFill="1" applyBorder="1"/>
    <xf numFmtId="2" fontId="2" fillId="0" borderId="0" xfId="0" applyNumberFormat="1" applyFont="1" applyFill="1" applyProtection="1">
      <protection hidden="1"/>
    </xf>
    <xf numFmtId="1" fontId="2" fillId="0" borderId="0" xfId="0" applyNumberFormat="1" applyFont="1"/>
    <xf numFmtId="164" fontId="2" fillId="0" borderId="0" xfId="0" applyNumberFormat="1" applyFont="1" applyFill="1" applyProtection="1">
      <protection hidden="1"/>
    </xf>
    <xf numFmtId="166" fontId="2" fillId="0" borderId="0" xfId="0" applyNumberFormat="1" applyFont="1" applyFill="1" applyProtection="1">
      <protection hidden="1"/>
    </xf>
    <xf numFmtId="1" fontId="0" fillId="0" borderId="0" xfId="0" applyNumberFormat="1"/>
    <xf numFmtId="0" fontId="0" fillId="0" borderId="0" xfId="0"/>
    <xf numFmtId="0" fontId="0" fillId="6" borderId="13" xfId="0" applyFill="1" applyBorder="1"/>
    <xf numFmtId="0" fontId="0" fillId="6" borderId="7" xfId="0" applyFill="1" applyBorder="1"/>
    <xf numFmtId="2" fontId="4" fillId="6" borderId="2" xfId="0" applyNumberFormat="1" applyFont="1" applyFill="1" applyBorder="1"/>
    <xf numFmtId="2" fontId="4" fillId="6" borderId="6" xfId="0" applyNumberFormat="1" applyFont="1" applyFill="1" applyBorder="1"/>
    <xf numFmtId="167" fontId="0" fillId="8" borderId="4" xfId="0" applyNumberFormat="1" applyFill="1" applyBorder="1" applyAlignment="1">
      <alignment horizontal="center"/>
    </xf>
    <xf numFmtId="167" fontId="0" fillId="8" borderId="3" xfId="0" applyNumberFormat="1" applyFill="1" applyBorder="1" applyProtection="1">
      <protection hidden="1"/>
    </xf>
    <xf numFmtId="167" fontId="0" fillId="8" borderId="3" xfId="0" applyNumberFormat="1" applyFill="1" applyBorder="1"/>
    <xf numFmtId="167" fontId="0" fillId="8" borderId="5" xfId="0" applyNumberFormat="1" applyFill="1" applyBorder="1" applyProtection="1">
      <protection hidden="1"/>
    </xf>
    <xf numFmtId="1" fontId="0" fillId="3" borderId="4" xfId="0" applyNumberFormat="1" applyFill="1" applyBorder="1" applyAlignment="1">
      <alignment horizontal="center"/>
    </xf>
    <xf numFmtId="1" fontId="0" fillId="3" borderId="3" xfId="0" quotePrefix="1" applyNumberFormat="1" applyFill="1" applyBorder="1" applyAlignment="1" applyProtection="1">
      <alignment horizontal="center"/>
      <protection hidden="1"/>
    </xf>
    <xf numFmtId="1" fontId="0" fillId="3" borderId="3" xfId="0" applyNumberFormat="1" applyFill="1" applyBorder="1" applyAlignment="1">
      <alignment horizontal="center"/>
    </xf>
    <xf numFmtId="1" fontId="0" fillId="3" borderId="5" xfId="0" quotePrefix="1" applyNumberFormat="1" applyFill="1" applyBorder="1" applyAlignment="1" applyProtection="1">
      <alignment horizontal="center"/>
      <protection hidden="1"/>
    </xf>
    <xf numFmtId="0" fontId="0" fillId="6" borderId="13" xfId="0" applyFill="1" applyBorder="1"/>
    <xf numFmtId="1" fontId="0" fillId="0" borderId="0" xfId="0" applyNumberFormat="1"/>
    <xf numFmtId="0" fontId="0" fillId="0" borderId="0" xfId="0"/>
    <xf numFmtId="0" fontId="0" fillId="9" borderId="4" xfId="0" applyFill="1" applyBorder="1"/>
    <xf numFmtId="166" fontId="6" fillId="6" borderId="2" xfId="0" applyNumberFormat="1" applyFont="1" applyFill="1" applyBorder="1"/>
    <xf numFmtId="1" fontId="3" fillId="0" borderId="3" xfId="0" applyNumberFormat="1" applyFont="1" applyBorder="1" applyProtection="1">
      <protection hidden="1"/>
    </xf>
    <xf numFmtId="1" fontId="0" fillId="2" borderId="3" xfId="0" applyNumberFormat="1" applyFill="1" applyBorder="1"/>
    <xf numFmtId="0" fontId="0" fillId="9" borderId="3" xfId="0" applyFill="1" applyBorder="1"/>
    <xf numFmtId="1" fontId="0" fillId="6" borderId="14" xfId="0" applyNumberFormat="1" applyFill="1" applyBorder="1"/>
    <xf numFmtId="166" fontId="6" fillId="6" borderId="6" xfId="0" applyNumberFormat="1" applyFont="1" applyFill="1" applyBorder="1"/>
    <xf numFmtId="0" fontId="2" fillId="0" borderId="0" xfId="0" applyFont="1" applyFill="1"/>
    <xf numFmtId="164" fontId="0" fillId="9" borderId="4" xfId="0" applyNumberFormat="1" applyFill="1" applyBorder="1"/>
    <xf numFmtId="164" fontId="3" fillId="0" borderId="0" xfId="0" applyNumberFormat="1" applyFont="1" applyFill="1" applyProtection="1">
      <protection hidden="1"/>
    </xf>
    <xf numFmtId="164" fontId="3" fillId="0" borderId="3" xfId="0" applyNumberFormat="1" applyFont="1" applyFill="1" applyBorder="1" applyProtection="1">
      <protection hidden="1"/>
    </xf>
    <xf numFmtId="164" fontId="0" fillId="2" borderId="3" xfId="0" applyNumberFormat="1" applyFill="1" applyBorder="1"/>
    <xf numFmtId="164" fontId="0" fillId="9" borderId="3" xfId="0" applyNumberFormat="1" applyFill="1" applyBorder="1"/>
    <xf numFmtId="1" fontId="0" fillId="2" borderId="0" xfId="0" applyNumberFormat="1" applyFill="1" applyAlignment="1"/>
    <xf numFmtId="166" fontId="6" fillId="6" borderId="2" xfId="0" applyNumberFormat="1" applyFont="1" applyFill="1" applyBorder="1" applyAlignment="1"/>
    <xf numFmtId="166" fontId="6" fillId="6" borderId="6" xfId="0" applyNumberFormat="1" applyFont="1" applyFill="1" applyBorder="1" applyAlignment="1"/>
    <xf numFmtId="164" fontId="3" fillId="0" borderId="3" xfId="0" applyNumberFormat="1" applyFont="1" applyBorder="1" applyAlignment="1" applyProtection="1">
      <protection hidden="1"/>
    </xf>
    <xf numFmtId="2" fontId="3" fillId="0" borderId="0" xfId="0" applyNumberFormat="1" applyFont="1" applyFill="1" applyProtection="1">
      <protection hidden="1"/>
    </xf>
    <xf numFmtId="2" fontId="3" fillId="0" borderId="3" xfId="0" applyNumberFormat="1" applyFont="1" applyFill="1" applyBorder="1" applyProtection="1">
      <protection hidden="1"/>
    </xf>
    <xf numFmtId="2" fontId="0" fillId="2" borderId="3" xfId="0" applyNumberFormat="1" applyFill="1" applyBorder="1"/>
    <xf numFmtId="2" fontId="0" fillId="9" borderId="3" xfId="0" applyNumberFormat="1" applyFill="1" applyBorder="1"/>
    <xf numFmtId="2" fontId="6" fillId="6" borderId="2" xfId="0" applyNumberFormat="1" applyFont="1" applyFill="1" applyBorder="1"/>
    <xf numFmtId="1" fontId="0" fillId="0" borderId="0" xfId="0" applyNumberFormat="1"/>
    <xf numFmtId="0" fontId="0" fillId="0" borderId="0" xfId="0"/>
    <xf numFmtId="0" fontId="0" fillId="6" borderId="13" xfId="0" applyFill="1" applyBorder="1"/>
    <xf numFmtId="2" fontId="3" fillId="0" borderId="0" xfId="0" applyNumberFormat="1" applyFont="1" applyAlignment="1" applyProtection="1">
      <alignment wrapText="1"/>
      <protection hidden="1"/>
    </xf>
    <xf numFmtId="2" fontId="3" fillId="0" borderId="2" xfId="0" applyNumberFormat="1" applyFont="1" applyBorder="1" applyAlignment="1" applyProtection="1">
      <alignment wrapText="1"/>
      <protection hidden="1"/>
    </xf>
    <xf numFmtId="164" fontId="0" fillId="0" borderId="0" xfId="0" applyNumberFormat="1"/>
    <xf numFmtId="2" fontId="2" fillId="0" borderId="0" xfId="0" applyNumberFormat="1" applyFont="1"/>
    <xf numFmtId="164" fontId="2" fillId="0" borderId="0" xfId="0" applyNumberFormat="1" applyFont="1"/>
    <xf numFmtId="0" fontId="0" fillId="0" borderId="0" xfId="0"/>
    <xf numFmtId="0" fontId="0" fillId="0" borderId="0" xfId="0"/>
    <xf numFmtId="0" fontId="0" fillId="6" borderId="8" xfId="0" applyFill="1" applyBorder="1"/>
    <xf numFmtId="0" fontId="0" fillId="6" borderId="9" xfId="0" applyFill="1" applyBorder="1"/>
    <xf numFmtId="0" fontId="0" fillId="6" borderId="13" xfId="0" applyFill="1" applyBorder="1"/>
    <xf numFmtId="0" fontId="0" fillId="6" borderId="2" xfId="0" applyFill="1" applyBorder="1"/>
    <xf numFmtId="0" fontId="3" fillId="6" borderId="1" xfId="0" applyFont="1" applyFill="1" applyBorder="1" applyAlignment="1">
      <alignment horizontal="center"/>
    </xf>
    <xf numFmtId="1" fontId="0" fillId="4" borderId="8" xfId="0" applyNumberFormat="1" applyFill="1" applyBorder="1"/>
    <xf numFmtId="1" fontId="0" fillId="4" borderId="9" xfId="0" applyNumberFormat="1" applyFill="1" applyBorder="1"/>
    <xf numFmtId="0" fontId="0" fillId="6" borderId="0" xfId="0" quotePrefix="1" applyFill="1" applyAlignment="1">
      <alignment horizontal="right"/>
    </xf>
    <xf numFmtId="0" fontId="0" fillId="11" borderId="0" xfId="0" quotePrefix="1" applyFill="1" applyAlignment="1">
      <alignment horizontal="right"/>
    </xf>
    <xf numFmtId="0" fontId="5" fillId="12" borderId="0" xfId="0" applyFont="1" applyFill="1" applyAlignment="1" applyProtection="1">
      <alignment horizontal="right"/>
      <protection locked="0"/>
    </xf>
    <xf numFmtId="0" fontId="0" fillId="9" borderId="0" xfId="0" quotePrefix="1" applyFill="1" applyBorder="1" applyAlignment="1">
      <alignment horizontal="right"/>
    </xf>
    <xf numFmtId="0" fontId="0" fillId="9" borderId="0" xfId="0" quotePrefix="1" applyFill="1" applyAlignment="1">
      <alignment horizontal="right"/>
    </xf>
    <xf numFmtId="1" fontId="0" fillId="6" borderId="0" xfId="0" quotePrefix="1" applyNumberFormat="1" applyFill="1" applyAlignment="1">
      <alignment horizontal="right"/>
    </xf>
    <xf numFmtId="0" fontId="0" fillId="12" borderId="0" xfId="0" applyFill="1" applyAlignment="1" applyProtection="1">
      <alignment horizontal="right"/>
      <protection locked="0"/>
    </xf>
    <xf numFmtId="1" fontId="0" fillId="0" borderId="0" xfId="0" applyNumberFormat="1"/>
    <xf numFmtId="0" fontId="0" fillId="6" borderId="8" xfId="0" quotePrefix="1" applyFill="1" applyBorder="1" applyAlignment="1">
      <alignment horizontal="right"/>
    </xf>
    <xf numFmtId="0" fontId="0" fillId="6" borderId="12" xfId="0" quotePrefix="1" applyFill="1" applyBorder="1" applyAlignment="1">
      <alignment horizontal="right"/>
    </xf>
    <xf numFmtId="0" fontId="0" fillId="11" borderId="12" xfId="0" quotePrefix="1" applyFill="1" applyBorder="1" applyAlignment="1">
      <alignment horizontal="right"/>
    </xf>
    <xf numFmtId="0" fontId="0" fillId="12" borderId="12" xfId="0" applyFill="1" applyBorder="1" applyAlignment="1" applyProtection="1">
      <alignment horizontal="right"/>
      <protection locked="0"/>
    </xf>
    <xf numFmtId="0" fontId="0" fillId="9" borderId="12" xfId="0" quotePrefix="1" applyFill="1" applyBorder="1" applyAlignment="1">
      <alignment horizontal="right"/>
    </xf>
    <xf numFmtId="0" fontId="0" fillId="6" borderId="13" xfId="0" quotePrefix="1" applyFill="1" applyBorder="1" applyAlignment="1">
      <alignment horizontal="right"/>
    </xf>
    <xf numFmtId="0" fontId="3" fillId="5" borderId="1" xfId="0" applyFont="1" applyFill="1" applyBorder="1" applyAlignment="1">
      <alignment horizontal="center"/>
    </xf>
    <xf numFmtId="2" fontId="0" fillId="6" borderId="8" xfId="0" quotePrefix="1" applyNumberFormat="1" applyFill="1" applyBorder="1" applyAlignment="1">
      <alignment horizontal="right"/>
    </xf>
    <xf numFmtId="2" fontId="0" fillId="6" borderId="12" xfId="0" quotePrefix="1" applyNumberFormat="1" applyFill="1" applyBorder="1" applyAlignment="1">
      <alignment horizontal="right"/>
    </xf>
    <xf numFmtId="2" fontId="0" fillId="11" borderId="12" xfId="0" quotePrefix="1" applyNumberFormat="1" applyFill="1" applyBorder="1" applyAlignment="1">
      <alignment horizontal="right"/>
    </xf>
    <xf numFmtId="2" fontId="0" fillId="12" borderId="0" xfId="0" applyNumberFormat="1" applyFill="1" applyAlignment="1" applyProtection="1">
      <alignment horizontal="right"/>
      <protection locked="0"/>
    </xf>
    <xf numFmtId="2" fontId="0" fillId="9" borderId="12" xfId="0" quotePrefix="1" applyNumberFormat="1" applyFill="1" applyBorder="1" applyAlignment="1">
      <alignment horizontal="right"/>
    </xf>
    <xf numFmtId="2" fontId="0" fillId="9" borderId="0" xfId="0" quotePrefix="1" applyNumberFormat="1" applyFill="1" applyAlignment="1">
      <alignment horizontal="right"/>
    </xf>
    <xf numFmtId="2" fontId="0" fillId="6" borderId="13" xfId="0" quotePrefix="1" applyNumberFormat="1" applyFill="1" applyBorder="1" applyAlignment="1">
      <alignment horizontal="right"/>
    </xf>
    <xf numFmtId="2" fontId="0" fillId="6" borderId="0" xfId="0" quotePrefix="1" applyNumberFormat="1" applyFill="1" applyAlignment="1">
      <alignment horizontal="right"/>
    </xf>
    <xf numFmtId="2" fontId="0" fillId="11" borderId="0" xfId="0" quotePrefix="1" applyNumberFormat="1" applyFill="1" applyAlignment="1">
      <alignment horizontal="right"/>
    </xf>
    <xf numFmtId="2" fontId="3" fillId="10" borderId="1" xfId="0" applyNumberFormat="1" applyFont="1" applyFill="1" applyBorder="1" applyAlignment="1">
      <alignment horizontal="center"/>
    </xf>
    <xf numFmtId="2" fontId="3" fillId="0" borderId="0" xfId="0" applyNumberFormat="1" applyFont="1" applyAlignment="1" applyProtection="1">
      <alignment wrapText="1"/>
      <protection hidden="1"/>
    </xf>
    <xf numFmtId="2" fontId="3" fillId="0" borderId="2" xfId="0" applyNumberFormat="1" applyFont="1" applyBorder="1" applyAlignment="1" applyProtection="1">
      <alignment wrapText="1"/>
      <protection hidden="1"/>
    </xf>
    <xf numFmtId="0" fontId="0" fillId="6" borderId="0" xfId="0" quotePrefix="1" applyFill="1" applyBorder="1" applyAlignment="1">
      <alignment horizontal="right"/>
    </xf>
    <xf numFmtId="0" fontId="0" fillId="11" borderId="0" xfId="0" quotePrefix="1" applyFill="1" applyBorder="1" applyAlignment="1">
      <alignment horizontal="right"/>
    </xf>
    <xf numFmtId="0" fontId="0" fillId="12" borderId="0" xfId="0" applyFill="1" applyBorder="1" applyAlignment="1" applyProtection="1">
      <alignment horizontal="right"/>
      <protection locked="0"/>
    </xf>
    <xf numFmtId="0" fontId="3" fillId="1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7" borderId="10" xfId="0" applyFill="1" applyBorder="1" applyAlignment="1">
      <alignment horizontal="right"/>
    </xf>
    <xf numFmtId="0" fontId="0" fillId="7" borderId="11" xfId="0" applyFill="1" applyBorder="1" applyAlignment="1">
      <alignment horizontal="right"/>
    </xf>
    <xf numFmtId="164" fontId="9" fillId="0" borderId="0" xfId="0" applyNumberFormat="1" applyFont="1" applyFill="1" applyProtection="1">
      <protection hidden="1"/>
    </xf>
    <xf numFmtId="164" fontId="9" fillId="0" borderId="2" xfId="0" applyNumberFormat="1" applyFont="1" applyFill="1" applyBorder="1" applyProtection="1">
      <protection hidden="1"/>
    </xf>
    <xf numFmtId="164" fontId="3" fillId="0" borderId="0" xfId="0" applyNumberFormat="1" applyFont="1" applyFill="1" applyProtection="1">
      <protection hidden="1"/>
    </xf>
    <xf numFmtId="164" fontId="3" fillId="0" borderId="2" xfId="0" applyNumberFormat="1" applyFont="1" applyFill="1" applyBorder="1" applyProtection="1">
      <protection hidden="1"/>
    </xf>
    <xf numFmtId="0" fontId="0" fillId="0" borderId="0" xfId="0" applyFill="1"/>
    <xf numFmtId="0" fontId="7" fillId="2" borderId="0" xfId="0" applyFont="1" applyFill="1" applyBorder="1" applyAlignment="1">
      <alignment horizontal="center"/>
    </xf>
    <xf numFmtId="1" fontId="0" fillId="6" borderId="13" xfId="0" quotePrefix="1" applyNumberFormat="1" applyFill="1" applyBorder="1" applyAlignment="1">
      <alignment horizontal="right"/>
    </xf>
    <xf numFmtId="1" fontId="0" fillId="6" borderId="16" xfId="0" quotePrefix="1" applyNumberFormat="1" applyFill="1" applyBorder="1" applyAlignment="1">
      <alignment horizontal="right"/>
    </xf>
    <xf numFmtId="0" fontId="0" fillId="11" borderId="15" xfId="0" quotePrefix="1" applyFill="1" applyBorder="1" applyAlignment="1">
      <alignment horizontal="right"/>
    </xf>
    <xf numFmtId="0" fontId="0" fillId="12" borderId="0" xfId="0" applyFont="1" applyFill="1" applyAlignment="1" applyProtection="1">
      <alignment horizontal="center"/>
      <protection locked="0"/>
    </xf>
    <xf numFmtId="0" fontId="0" fillId="12" borderId="1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zoomScaleNormal="100" workbookViewId="0">
      <selection activeCell="N3" sqref="N3:O3"/>
    </sheetView>
  </sheetViews>
  <sheetFormatPr defaultRowHeight="15" x14ac:dyDescent="0.25"/>
  <cols>
    <col min="1" max="1" width="2.28515625" style="14" customWidth="1"/>
    <col min="2" max="2" width="5.28515625" style="57" customWidth="1"/>
    <col min="3" max="3" width="5.7109375" style="1" customWidth="1"/>
    <col min="4" max="4" width="4.7109375" style="13" customWidth="1"/>
    <col min="5" max="5" width="9.140625" style="14" customWidth="1"/>
    <col min="6" max="7" width="5.7109375" style="14" customWidth="1"/>
    <col min="8" max="13" width="4.7109375" style="14" customWidth="1"/>
    <col min="14" max="35" width="4.28515625" style="14" customWidth="1"/>
    <col min="36" max="16384" width="9.140625" style="14"/>
  </cols>
  <sheetData>
    <row r="1" spans="1:35" x14ac:dyDescent="0.25">
      <c r="A1" s="20">
        <v>0</v>
      </c>
      <c r="B1" s="20">
        <v>1</v>
      </c>
      <c r="C1" s="18" t="s">
        <v>27</v>
      </c>
      <c r="D1" s="19" t="s">
        <v>32</v>
      </c>
      <c r="E1" s="21"/>
      <c r="F1" s="54">
        <v>1.5</v>
      </c>
      <c r="G1" s="20">
        <v>1</v>
      </c>
      <c r="H1" s="21">
        <v>12</v>
      </c>
      <c r="I1" s="21">
        <v>18</v>
      </c>
      <c r="J1" s="21">
        <v>100</v>
      </c>
      <c r="K1" s="21">
        <v>150</v>
      </c>
      <c r="L1" s="21">
        <v>39</v>
      </c>
      <c r="M1" s="21">
        <v>5</v>
      </c>
      <c r="N1" s="109" t="s">
        <v>30</v>
      </c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35" x14ac:dyDescent="0.25">
      <c r="A2" s="105" t="s">
        <v>8</v>
      </c>
      <c r="B2" s="106"/>
      <c r="C2" s="110" t="s">
        <v>9</v>
      </c>
      <c r="D2" s="111"/>
      <c r="E2" s="22" t="s">
        <v>13</v>
      </c>
      <c r="F2" s="23">
        <v>1</v>
      </c>
      <c r="G2" s="23">
        <v>2</v>
      </c>
      <c r="H2" s="23">
        <v>3</v>
      </c>
      <c r="I2" s="23">
        <v>4</v>
      </c>
      <c r="J2" s="23">
        <v>5</v>
      </c>
      <c r="K2" s="23">
        <v>6</v>
      </c>
      <c r="L2" s="23">
        <v>7</v>
      </c>
      <c r="M2" s="23">
        <v>8</v>
      </c>
      <c r="N2" s="23">
        <v>9</v>
      </c>
      <c r="O2" s="23">
        <v>10</v>
      </c>
      <c r="P2" s="23">
        <v>11</v>
      </c>
      <c r="Q2" s="23">
        <v>12</v>
      </c>
      <c r="R2" s="23">
        <v>13</v>
      </c>
      <c r="S2" s="23">
        <v>14</v>
      </c>
      <c r="T2" s="23">
        <v>15</v>
      </c>
      <c r="U2" s="23">
        <v>16</v>
      </c>
      <c r="V2" s="23">
        <v>17</v>
      </c>
      <c r="W2" s="23">
        <v>18</v>
      </c>
      <c r="X2" s="23">
        <v>19</v>
      </c>
      <c r="Y2" s="23">
        <v>20</v>
      </c>
      <c r="Z2" s="23">
        <v>21</v>
      </c>
      <c r="AA2" s="23">
        <v>22</v>
      </c>
      <c r="AB2" s="23">
        <v>23</v>
      </c>
      <c r="AC2" s="23">
        <v>24</v>
      </c>
      <c r="AD2" s="23">
        <v>25</v>
      </c>
      <c r="AE2" s="23">
        <v>26</v>
      </c>
      <c r="AF2" s="23">
        <v>27</v>
      </c>
      <c r="AG2" s="23">
        <v>28</v>
      </c>
      <c r="AH2" s="23">
        <v>29</v>
      </c>
      <c r="AI2" s="24">
        <v>30</v>
      </c>
    </row>
    <row r="3" spans="1:35" x14ac:dyDescent="0.25">
      <c r="A3" s="107" t="s">
        <v>7</v>
      </c>
      <c r="B3" s="108"/>
      <c r="C3" s="5" t="s">
        <v>10</v>
      </c>
      <c r="D3" s="66" t="s">
        <v>33</v>
      </c>
      <c r="E3" s="62" t="s">
        <v>12</v>
      </c>
      <c r="F3" s="112" t="s">
        <v>11</v>
      </c>
      <c r="G3" s="112"/>
      <c r="H3" s="112"/>
      <c r="I3" s="25">
        <v>1</v>
      </c>
      <c r="J3" s="113" t="s">
        <v>3</v>
      </c>
      <c r="K3" s="113"/>
      <c r="L3" s="113"/>
      <c r="M3" s="113"/>
      <c r="N3" s="114" t="s">
        <v>27</v>
      </c>
      <c r="O3" s="114"/>
      <c r="P3" s="115" t="s">
        <v>1</v>
      </c>
      <c r="Q3" s="115"/>
      <c r="R3" s="115"/>
      <c r="S3" s="115"/>
      <c r="T3" s="15">
        <v>16</v>
      </c>
      <c r="U3" s="116" t="s">
        <v>2</v>
      </c>
      <c r="V3" s="116"/>
      <c r="W3" s="116"/>
      <c r="X3" s="116"/>
      <c r="Y3" s="15">
        <v>15</v>
      </c>
      <c r="Z3" s="116" t="s">
        <v>4</v>
      </c>
      <c r="AA3" s="116"/>
      <c r="AB3" s="116"/>
      <c r="AC3" s="116"/>
      <c r="AD3" s="15">
        <v>2</v>
      </c>
      <c r="AE3" s="26"/>
      <c r="AF3" s="26"/>
      <c r="AG3" s="26"/>
      <c r="AH3" s="26"/>
      <c r="AI3" s="27"/>
    </row>
    <row r="4" spans="1:35" x14ac:dyDescent="0.25">
      <c r="A4" s="58">
        <v>1</v>
      </c>
      <c r="B4" s="60">
        <v>1</v>
      </c>
      <c r="C4" s="16">
        <v>0</v>
      </c>
      <c r="D4" s="67">
        <f>CEILING(1+MIN(T$3-C4-1,IF($N3=$D$1,0,$L$1))+(T$3-C4-1-MIN(T$3-C4-1,IF($N3=$D$1,0,$L$1)))/$M$1,1)</f>
        <v>16</v>
      </c>
      <c r="E4" s="63">
        <f>MAX(($G$1/($F$1*D4))^(1/(ROUNDUP(D4/3,)-1)),2/3)</f>
        <v>0.66666666666666663</v>
      </c>
      <c r="F4" s="47">
        <f>IF(CEILING($B4*$D4/3,1)&gt;=F$2,CEILING($F$1*IF($Y$3*$AD$3&gt;=$I$1,1,IF($Y$3*$AD$3&gt;=$H$1,0.5,0))*(1+IF($N$3=$D$1,IF($Y$3*$AD$3&gt;=$K$1,0,IF($Y$3*$AD$3&gt;=$J$1,0,0)),0))*$B4*$D4*$E4^(F$2-1),1),0)</f>
        <v>24</v>
      </c>
      <c r="G4" s="47">
        <f>IF(CEILING($B4*$D4/3,1)&gt;=G$2,CEILING($F$1*IF($Y$3*$AD$3&gt;=$I$1,1,IF($Y$3*$AD$3&gt;=$H$1,0.5,0))*(1+IF($N$3=$D$1,IF($Y$3*$AD$3&gt;=$K$1,0,IF($Y$3*$AD$3&gt;=$J$1,0,0)),0))*$B4*$D4*$E4^(G$2-1),1),0)</f>
        <v>16</v>
      </c>
      <c r="H4" s="47">
        <f>IF(CEILING($B4*$D4/3,1)&gt;=H$2,CEILING($F$1*IF($Y$3*$AD$3&gt;=$I$1,1,IF($Y$3*$AD$3&gt;=$H$1,0.5,0))*(1+IF($N$3=$D$1,IF($Y$3*$AD$3&gt;=$K$1,0,IF($Y$3*$AD$3&gt;=$J$1,0,0)),0))*$B4*$D4*$E4^(H$2-1),1),0)</f>
        <v>11</v>
      </c>
      <c r="I4" s="47">
        <f>IF(CEILING($B4*$D4/3,1)&gt;=I$2,CEILING($F$1*IF($Y$3*$AD$3&gt;=$I$1,1,IF($Y$3*$AD$3&gt;=$H$1,0.5,0))*(1+IF($N$3=$D$1,IF($Y$3*$AD$3&gt;=$K$1,0,IF($Y$3*$AD$3&gt;=$J$1,0,0)),0))*$B4*$D4*$E4^(I$2-1),1),0)</f>
        <v>8</v>
      </c>
      <c r="J4" s="47">
        <f>IF(CEILING($B4*$D4/3,1)&gt;=J$2,CEILING($F$1*IF($Y$3*$AD$3&gt;=$I$1,1,IF($Y$3*$AD$3&gt;=$H$1,0.5,0))*(1+IF($N$3=$D$1,IF($Y$3*$AD$3&gt;=$K$1,0,IF($Y$3*$AD$3&gt;=$J$1,0,0)),0))*$B4*$D4*$E4^(J$2-1),1),0)</f>
        <v>5</v>
      </c>
      <c r="K4" s="47">
        <f>IF(CEILING($B4*$D4/3,1)&gt;=K$2,CEILING($F$1*IF($Y$3*$AD$3&gt;=$I$1,1,IF($Y$3*$AD$3&gt;=$H$1,0.5,0))*(1+IF($N$3=$D$1,IF($Y$3*$AD$3&gt;=$K$1,0,IF($Y$3*$AD$3&gt;=$J$1,0,0)),0))*$B4*$D4*$E4^(K$2-1),1),0)</f>
        <v>4</v>
      </c>
      <c r="L4" s="47">
        <f>IF(CEILING($B4*$D4/3,1)&gt;=L$2,CEILING($F$1*IF($Y$3*$AD$3&gt;=$I$1,1,IF($Y$3*$AD$3&gt;=$H$1,0.5,0))*(1+IF($N$3=$D$1,IF($Y$3*$AD$3&gt;=$K$1,0,IF($Y$3*$AD$3&gt;=$J$1,0,0)),0))*$B4*$D4*$E4^(L$2-1),1),0)</f>
        <v>0</v>
      </c>
      <c r="M4" s="47">
        <f>IF(CEILING($B4*$D4/3,1)&gt;=M$2,CEILING($F$1*IF($Y$3*$AD$3&gt;=$I$1,1,IF($Y$3*$AD$3&gt;=$H$1,0.5,0))*(1+IF($N$3=$D$1,IF($Y$3*$AD$3&gt;=$K$1,0,IF($Y$3*$AD$3&gt;=$J$1,0,0)),0))*$B4*$D4*$E4^(M$2-1),1),0)</f>
        <v>0</v>
      </c>
      <c r="N4" s="47">
        <f>IF(CEILING($B4*$D4/3,1)&gt;=N$2,CEILING($F$1*IF($Y$3*$AD$3&gt;=$I$1,1,IF($Y$3*$AD$3&gt;=$H$1,0.5,0))*(1+IF($N$3=$D$1,IF($Y$3*$AD$3&gt;=$K$1,0,IF($Y$3*$AD$3&gt;=$J$1,0,0)),0))*$B4*$D4*$E4^(N$2-1),1),0)</f>
        <v>0</v>
      </c>
      <c r="O4" s="47">
        <f>IF(CEILING($B4*$D4/3,1)&gt;=O$2,CEILING($F$1*IF($Y$3*$AD$3&gt;=$I$1,1,IF($Y$3*$AD$3&gt;=$H$1,0.5,0))*(1+IF($N$3=$D$1,IF($Y$3*$AD$3&gt;=$K$1,0,IF($Y$3*$AD$3&gt;=$J$1,0,0)),0))*$B4*$D4*$E4^(O$2-1),1),0)</f>
        <v>0</v>
      </c>
      <c r="P4" s="47">
        <f>IF(CEILING($B4*$D4/3,1)&gt;=P$2,CEILING($F$1*IF($Y$3*$AD$3&gt;=$I$1,1,IF($Y$3*$AD$3&gt;=$H$1,0.5,0))*(1+IF($N$3=$D$1,IF($Y$3*$AD$3&gt;=$K$1,0,IF($Y$3*$AD$3&gt;=$J$1,0,0)),0))*$B4*$D4*$E4^(P$2-1),1),0)</f>
        <v>0</v>
      </c>
      <c r="Q4" s="47">
        <f>IF(CEILING($B4*$D4/3,1)&gt;=Q$2,CEILING($F$1*IF($Y$3*$AD$3&gt;=$I$1,1,IF($Y$3*$AD$3&gt;=$H$1,0.5,0))*(1+IF($N$3=$D$1,IF($Y$3*$AD$3&gt;=$K$1,0,IF($Y$3*$AD$3&gt;=$J$1,0,0)),0))*$B4*$D4*$E4^(Q$2-1),1),0)</f>
        <v>0</v>
      </c>
      <c r="R4" s="47">
        <f>IF(CEILING($B4*$D4/3,1)&gt;=R$2,CEILING($F$1*IF($Y$3*$AD$3&gt;=$I$1,1,IF($Y$3*$AD$3&gt;=$H$1,0.5,0))*(1+IF($N$3=$D$1,IF($Y$3*$AD$3&gt;=$K$1,0,IF($Y$3*$AD$3&gt;=$J$1,0,0)),0))*$B4*$D4*$E4^(R$2-1),1),0)</f>
        <v>0</v>
      </c>
      <c r="S4" s="47">
        <f>IF(CEILING($B4*$D4/3,1)&gt;=S$2,CEILING($F$1*IF($Y$3*$AD$3&gt;=$I$1,1,IF($Y$3*$AD$3&gt;=$H$1,0.5,0))*(1+IF($N$3=$D$1,IF($Y$3*$AD$3&gt;=$K$1,0,IF($Y$3*$AD$3&gt;=$J$1,0,0)),0))*$B4*$D4*$E4^(S$2-1),1),0)</f>
        <v>0</v>
      </c>
      <c r="T4" s="47">
        <f>IF(CEILING($B4*$D4/3,1)&gt;=T$2,CEILING($F$1*IF($Y$3*$AD$3&gt;=$I$1,1,IF($Y$3*$AD$3&gt;=$H$1,0.5,0))*(1+IF($N$3=$D$1,IF($Y$3*$AD$3&gt;=$K$1,0,IF($Y$3*$AD$3&gt;=$J$1,0,0)),0))*$B4*$D4*$E4^(T$2-1),1),0)</f>
        <v>0</v>
      </c>
      <c r="U4" s="47">
        <f>IF(CEILING($B4*$D4/3,1)&gt;=U$2,CEILING($F$1*IF($Y$3*$AD$3&gt;=$I$1,1,IF($Y$3*$AD$3&gt;=$H$1,0.5,0))*(1+IF($N$3=$D$1,IF($Y$3*$AD$3&gt;=$K$1,0,IF($Y$3*$AD$3&gt;=$J$1,0,0)),0))*$B4*$D4*$E4^(U$2-1),1),0)</f>
        <v>0</v>
      </c>
      <c r="V4" s="47">
        <f>IF(CEILING($B4*$D4/3,1)&gt;=V$2,CEILING($F$1*IF($Y$3*$AD$3&gt;=$I$1,1,IF($Y$3*$AD$3&gt;=$H$1,0.5,0))*(1+IF($N$3=$D$1,IF($Y$3*$AD$3&gt;=$K$1,0,IF($Y$3*$AD$3&gt;=$J$1,0,0)),0))*$B4*$D4*$E4^(V$2-1),1),0)</f>
        <v>0</v>
      </c>
      <c r="W4" s="47">
        <f>IF(CEILING($B4*$D4/3,1)&gt;=W$2,CEILING($F$1*IF($Y$3*$AD$3&gt;=$I$1,1,IF($Y$3*$AD$3&gt;=$H$1,0.5,0))*(1+IF($N$3=$D$1,IF($Y$3*$AD$3&gt;=$K$1,0,IF($Y$3*$AD$3&gt;=$J$1,0,0)),0))*$B4*$D4*$E4^(W$2-1),1),0)</f>
        <v>0</v>
      </c>
      <c r="X4" s="47">
        <f>IF(CEILING($B4*$D4/3,1)&gt;=X$2,CEILING($F$1*IF($Y$3*$AD$3&gt;=$I$1,1,IF($Y$3*$AD$3&gt;=$H$1,0.5,0))*(1+IF($N$3=$D$1,IF($Y$3*$AD$3&gt;=$K$1,0,IF($Y$3*$AD$3&gt;=$J$1,0,0)),0))*$B4*$D4*$E4^(X$2-1),1),0)</f>
        <v>0</v>
      </c>
      <c r="Y4" s="47">
        <f>IF(CEILING($B4*$D4/3,1)&gt;=Y$2,CEILING($F$1*IF($Y$3*$AD$3&gt;=$I$1,1,IF($Y$3*$AD$3&gt;=$H$1,0.5,0))*(1+IF($N$3=$D$1,IF($Y$3*$AD$3&gt;=$K$1,0,IF($Y$3*$AD$3&gt;=$J$1,0,0)),0))*$B4*$D4*$E4^(Y$2-1),1),0)</f>
        <v>0</v>
      </c>
      <c r="Z4" s="47">
        <f>IF(CEILING($B4*$D4/3,1)&gt;=Z$2,CEILING($F$1*IF($Y$3*$AD$3&gt;=$I$1,1,IF($Y$3*$AD$3&gt;=$H$1,0.5,0))*(1+IF($N$3=$D$1,IF($Y$3*$AD$3&gt;=$K$1,0,IF($Y$3*$AD$3&gt;=$J$1,0,0)),0))*$B4*$D4*$E4^(Z$2-1),1),0)</f>
        <v>0</v>
      </c>
      <c r="AA4" s="47">
        <f>IF(CEILING($B4*$D4/3,1)&gt;=AA$2,CEILING($F$1*IF($Y$3*$AD$3&gt;=$I$1,1,IF($Y$3*$AD$3&gt;=$H$1,0.5,0))*(1+IF($N$3=$D$1,IF($Y$3*$AD$3&gt;=$K$1,0,IF($Y$3*$AD$3&gt;=$J$1,0,0)),0))*$B4*$D4*$E4^(AA$2-1),1),0)</f>
        <v>0</v>
      </c>
      <c r="AB4" s="47">
        <f>IF(CEILING($B4*$D4/3,1)&gt;=AB$2,CEILING($F$1*IF($Y$3*$AD$3&gt;=$I$1,1,IF($Y$3*$AD$3&gt;=$H$1,0.5,0))*(1+IF($N$3=$D$1,IF($Y$3*$AD$3&gt;=$K$1,0,IF($Y$3*$AD$3&gt;=$J$1,0,0)),0))*$B4*$D4*$E4^(AB$2-1),1),0)</f>
        <v>0</v>
      </c>
      <c r="AC4" s="47">
        <f>IF(CEILING($B4*$D4/3,1)&gt;=AC$2,CEILING($F$1*IF($Y$3*$AD$3&gt;=$I$1,1,IF($Y$3*$AD$3&gt;=$H$1,0.5,0))*(1+IF($N$3=$D$1,IF($Y$3*$AD$3&gt;=$K$1,0,IF($Y$3*$AD$3&gt;=$J$1,0,0)),0))*$B4*$D4*$E4^(AC$2-1),1),0)</f>
        <v>0</v>
      </c>
      <c r="AD4" s="47">
        <f>IF(CEILING($B4*$D4/3,1)&gt;=AD$2,CEILING($F$1*IF($Y$3*$AD$3&gt;=$I$1,1,IF($Y$3*$AD$3&gt;=$H$1,0.5,0))*(1+IF($N$3=$D$1,IF($Y$3*$AD$3&gt;=$K$1,0,IF($Y$3*$AD$3&gt;=$J$1,0,0)),0))*$B4*$D4*$E4^(AD$2-1),1),0)</f>
        <v>0</v>
      </c>
      <c r="AE4" s="47">
        <f>IF(CEILING($B4*$D4/3,1)&gt;=AE$2,CEILING($F$1*IF($Y$3*$AD$3&gt;=$I$1,1,IF($Y$3*$AD$3&gt;=$H$1,0.5,0))*(1+IF($N$3=$D$1,IF($Y$3*$AD$3&gt;=$K$1,0,IF($Y$3*$AD$3&gt;=$J$1,0,0)),0))*$B4*$D4*$E4^(AE$2-1),1),0)</f>
        <v>0</v>
      </c>
      <c r="AF4" s="47">
        <f>IF(CEILING($B4*$D4/3,1)&gt;=AF$2,CEILING($F$1*IF($Y$3*$AD$3&gt;=$I$1,1,IF($Y$3*$AD$3&gt;=$H$1,0.5,0))*(1+IF($N$3=$D$1,IF($Y$3*$AD$3&gt;=$K$1,0,IF($Y$3*$AD$3&gt;=$J$1,0,0)),0))*$B4*$D4*$E4^(AF$2-1),1),0)</f>
        <v>0</v>
      </c>
      <c r="AG4" s="47">
        <f>IF(CEILING($B4*$D4/3,1)&gt;=AG$2,CEILING($F$1*IF($Y$3*$AD$3&gt;=$I$1,1,IF($Y$3*$AD$3&gt;=$H$1,0.5,0))*(1+IF($N$3=$D$1,IF($Y$3*$AD$3&gt;=$K$1,0,IF($Y$3*$AD$3&gt;=$J$1,0,0)),0))*$B4*$D4*$E4^(AG$2-1),1),0)</f>
        <v>0</v>
      </c>
      <c r="AH4" s="47">
        <f>IF(CEILING($B4*$D4/3,1)&gt;=AH$2,CEILING($F$1*IF($Y$3*$AD$3&gt;=$I$1,1,IF($Y$3*$AD$3&gt;=$H$1,0.5,0))*(1+IF($N$3=$D$1,IF($Y$3*$AD$3&gt;=$K$1,0,IF($Y$3*$AD$3&gt;=$J$1,0,0)),0))*$B4*$D4*$E4^(AH$2-1),1),0)</f>
        <v>0</v>
      </c>
      <c r="AI4" s="48">
        <f>IF(CEILING($B4*$D4/3,1)&gt;=AI$2,CEILING($F$1*IF($Y$3*$AD$3&gt;=$I$1,1,IF($Y$3*$AD$3&gt;=$H$1,0.5,0))*(1+IF($N$3=$D$1,IF($Y$3*$AD$3&gt;=$K$1,0,IF($Y$3*$AD$3&gt;=$J$1,0,0)),0))*$B4*$D4*$E4^(AI$2-1),1),0)</f>
        <v>0</v>
      </c>
    </row>
    <row r="5" spans="1:35" ht="15" customHeight="1" x14ac:dyDescent="0.25">
      <c r="A5" s="58"/>
      <c r="B5" s="60"/>
      <c r="C5" s="6"/>
      <c r="D5" s="68"/>
      <c r="E5" s="64"/>
      <c r="F5" s="49"/>
      <c r="G5" s="49"/>
      <c r="H5" s="49"/>
      <c r="I5" s="49"/>
      <c r="J5" s="50"/>
      <c r="K5" s="50"/>
      <c r="L5" s="50"/>
      <c r="M5" s="50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51"/>
    </row>
    <row r="6" spans="1:35" x14ac:dyDescent="0.25">
      <c r="A6" s="58"/>
      <c r="B6" s="60"/>
      <c r="C6" s="6"/>
      <c r="D6" s="68"/>
      <c r="E6" s="64"/>
      <c r="F6" s="117" t="s">
        <v>11</v>
      </c>
      <c r="G6" s="117"/>
      <c r="H6" s="117"/>
      <c r="I6" s="36">
        <v>2</v>
      </c>
      <c r="J6" s="113" t="s">
        <v>3</v>
      </c>
      <c r="K6" s="113"/>
      <c r="L6" s="113"/>
      <c r="M6" s="113"/>
      <c r="N6" s="118" t="s">
        <v>27</v>
      </c>
      <c r="O6" s="118"/>
      <c r="P6" s="115" t="s">
        <v>1</v>
      </c>
      <c r="Q6" s="115"/>
      <c r="R6" s="115"/>
      <c r="S6" s="115"/>
      <c r="T6" s="15">
        <v>16</v>
      </c>
      <c r="U6" s="116" t="s">
        <v>2</v>
      </c>
      <c r="V6" s="116"/>
      <c r="W6" s="116"/>
      <c r="X6" s="116"/>
      <c r="Y6" s="15">
        <v>15</v>
      </c>
      <c r="Z6" s="116" t="s">
        <v>4</v>
      </c>
      <c r="AA6" s="116"/>
      <c r="AB6" s="116"/>
      <c r="AC6" s="116"/>
      <c r="AD6" s="15">
        <v>2</v>
      </c>
      <c r="AE6" s="26"/>
      <c r="AF6" s="26"/>
      <c r="AG6" s="26"/>
      <c r="AH6" s="26"/>
      <c r="AI6" s="27"/>
    </row>
    <row r="7" spans="1:35" x14ac:dyDescent="0.25">
      <c r="A7" s="58">
        <v>1</v>
      </c>
      <c r="B7" s="60">
        <v>1.1000000000000001</v>
      </c>
      <c r="C7" s="16">
        <v>0</v>
      </c>
      <c r="D7" s="67">
        <f>CEILING(1+MIN(T$6-C7-1,$L$1)+(T$6-C7-1-MIN(T$6-C7-1,$L$1))/$M$1,1)</f>
        <v>16</v>
      </c>
      <c r="E7" s="63">
        <f>MAX(($G$1/($F$1*D7))^(1/(ROUNDUP(D7/3,)-1)),2/3)</f>
        <v>0.66666666666666663</v>
      </c>
      <c r="F7" s="47">
        <f>IF(CEILING($B7*$D7/3,1)&gt;=F$2,CEILING($F$1*IF($Y$6*$AD$6&gt;=$I$1,1,IF($Y$6*$AD$6&gt;=$H$1,0.5,0))*(1+IF($N$6=$D$1,IF($Y$6*$AD$6&gt;=$K$1,0,IF($Y$6*$AD$6&gt;=$J$1,0,0)),0))*$B7*$D7*$E7^(F$2-1),1),0)</f>
        <v>27</v>
      </c>
      <c r="G7" s="47">
        <f>IF(CEILING($B7*$D7/3,1)&gt;=G$2,CEILING($F$1*IF($Y$6*$AD$6&gt;=$I$1,1,IF($Y$6*$AD$6&gt;=$H$1,0.5,0))*(1+IF($N$6=$D$1,IF($Y$6*$AD$6&gt;=$K$1,0,IF($Y$6*$AD$6&gt;=$J$1,0,0)),0))*$B7*$D7*$E7^(G$2-1),1),0)</f>
        <v>18</v>
      </c>
      <c r="H7" s="47">
        <f>IF(CEILING($B7*$D7/3,1)&gt;=H$2,CEILING($F$1*IF($Y$6*$AD$6&gt;=$I$1,1,IF($Y$6*$AD$6&gt;=$H$1,0.5,0))*(1+IF($N$6=$D$1,IF($Y$6*$AD$6&gt;=$K$1,0,IF($Y$6*$AD$6&gt;=$J$1,0,0)),0))*$B7*$D7*$E7^(H$2-1),1),0)</f>
        <v>12</v>
      </c>
      <c r="I7" s="47">
        <f>IF(CEILING($B7*$D7/3,1)&gt;=I$2,CEILING($F$1*IF($Y$6*$AD$6&gt;=$I$1,1,IF($Y$6*$AD$6&gt;=$H$1,0.5,0))*(1+IF($N$6=$D$1,IF($Y$6*$AD$6&gt;=$K$1,0,IF($Y$6*$AD$6&gt;=$J$1,0,0)),0))*$B7*$D7*$E7^(I$2-1),1),0)</f>
        <v>8</v>
      </c>
      <c r="J7" s="47">
        <f>IF(CEILING($B7*$D7/3,1)&gt;=J$2,CEILING($F$1*IF($Y$6*$AD$6&gt;=$I$1,1,IF($Y$6*$AD$6&gt;=$H$1,0.5,0))*(1+IF($N$6=$D$1,IF($Y$6*$AD$6&gt;=$K$1,0,IF($Y$6*$AD$6&gt;=$J$1,0,0)),0))*$B7*$D7*$E7^(J$2-1),1),0)</f>
        <v>6</v>
      </c>
      <c r="K7" s="47">
        <f>IF(CEILING($B7*$D7/3,1)&gt;=K$2,CEILING($F$1*IF($Y$6*$AD$6&gt;=$I$1,1,IF($Y$6*$AD$6&gt;=$H$1,0.5,0))*(1+IF($N$6=$D$1,IF($Y$6*$AD$6&gt;=$K$1,0,IF($Y$6*$AD$6&gt;=$J$1,0,0)),0))*$B7*$D7*$E7^(K$2-1),1),0)</f>
        <v>4</v>
      </c>
      <c r="L7" s="47">
        <f>IF(CEILING($B7*$D7/3,1)&gt;=L$2,CEILING($F$1*IF($Y$6*$AD$6&gt;=$I$1,1,IF($Y$6*$AD$6&gt;=$H$1,0.5,0))*(1+IF($N$6=$D$1,IF($Y$6*$AD$6&gt;=$K$1,0,IF($Y$6*$AD$6&gt;=$J$1,0,0)),0))*$B7*$D7*$E7^(L$2-1),1),0)</f>
        <v>0</v>
      </c>
      <c r="M7" s="47">
        <f>IF(CEILING($B7*$D7/3,1)&gt;=M$2,CEILING($F$1*IF($Y$6*$AD$6&gt;=$I$1,1,IF($Y$6*$AD$6&gt;=$H$1,0.5,0))*(1+IF($N$6=$D$1,IF($Y$6*$AD$6&gt;=$K$1,0,IF($Y$6*$AD$6&gt;=$J$1,0,0)),0))*$B7*$D7*$E7^(M$2-1),1),0)</f>
        <v>0</v>
      </c>
      <c r="N7" s="47">
        <f>IF(CEILING($B7*$D7/3,1)&gt;=N$2,CEILING($F$1*IF($Y$6*$AD$6&gt;=$I$1,1,IF($Y$6*$AD$6&gt;=$H$1,0.5,0))*(1+IF($N$6=$D$1,IF($Y$6*$AD$6&gt;=$K$1,0,IF($Y$6*$AD$6&gt;=$J$1,0,0)),0))*$B7*$D7*$E7^(N$2-1),1),0)</f>
        <v>0</v>
      </c>
      <c r="O7" s="47">
        <f>IF(CEILING($B7*$D7/3,1)&gt;=O$2,CEILING($F$1*IF($Y$6*$AD$6&gt;=$I$1,1,IF($Y$6*$AD$6&gt;=$H$1,0.5,0))*(1+IF($N$6=$D$1,IF($Y$6*$AD$6&gt;=$K$1,0,IF($Y$6*$AD$6&gt;=$J$1,0,0)),0))*$B7*$D7*$E7^(O$2-1),1),0)</f>
        <v>0</v>
      </c>
      <c r="P7" s="47">
        <f>IF(CEILING($B7*$D7/3,1)&gt;=P$2,CEILING($F$1*IF($Y$6*$AD$6&gt;=$I$1,1,IF($Y$6*$AD$6&gt;=$H$1,0.5,0))*(1+IF($N$6=$D$1,IF($Y$6*$AD$6&gt;=$K$1,0,IF($Y$6*$AD$6&gt;=$J$1,0,0)),0))*$B7*$D7*$E7^(P$2-1),1),0)</f>
        <v>0</v>
      </c>
      <c r="Q7" s="47">
        <f>IF(CEILING($B7*$D7/3,1)&gt;=Q$2,CEILING($F$1*IF($Y$6*$AD$6&gt;=$I$1,1,IF($Y$6*$AD$6&gt;=$H$1,0.5,0))*(1+IF($N$6=$D$1,IF($Y$6*$AD$6&gt;=$K$1,0,IF($Y$6*$AD$6&gt;=$J$1,0,0)),0))*$B7*$D7*$E7^(Q$2-1),1),0)</f>
        <v>0</v>
      </c>
      <c r="R7" s="47">
        <f>IF(CEILING($B7*$D7/3,1)&gt;=R$2,CEILING($F$1*IF($Y$6*$AD$6&gt;=$I$1,1,IF($Y$6*$AD$6&gt;=$H$1,0.5,0))*(1+IF($N$6=$D$1,IF($Y$6*$AD$6&gt;=$K$1,0,IF($Y$6*$AD$6&gt;=$J$1,0,0)),0))*$B7*$D7*$E7^(R$2-1),1),0)</f>
        <v>0</v>
      </c>
      <c r="S7" s="47">
        <f>IF(CEILING($B7*$D7/3,1)&gt;=S$2,CEILING($F$1*IF($Y$6*$AD$6&gt;=$I$1,1,IF($Y$6*$AD$6&gt;=$H$1,0.5,0))*(1+IF($N$6=$D$1,IF($Y$6*$AD$6&gt;=$K$1,0,IF($Y$6*$AD$6&gt;=$J$1,0,0)),0))*$B7*$D7*$E7^(S$2-1),1),0)</f>
        <v>0</v>
      </c>
      <c r="T7" s="47">
        <f>IF(CEILING($B7*$D7/3,1)&gt;=T$2,CEILING($F$1*IF($Y$6*$AD$6&gt;=$I$1,1,IF($Y$6*$AD$6&gt;=$H$1,0.5,0))*(1+IF($N$6=$D$1,IF($Y$6*$AD$6&gt;=$K$1,0,IF($Y$6*$AD$6&gt;=$J$1,0,0)),0))*$B7*$D7*$E7^(T$2-1),1),0)</f>
        <v>0</v>
      </c>
      <c r="U7" s="47">
        <f>IF(CEILING($B7*$D7/3,1)&gt;=U$2,CEILING($F$1*IF($Y$6*$AD$6&gt;=$I$1,1,IF($Y$6*$AD$6&gt;=$H$1,0.5,0))*(1+IF($N$6=$D$1,IF($Y$6*$AD$6&gt;=$K$1,0,IF($Y$6*$AD$6&gt;=$J$1,0,0)),0))*$B7*$D7*$E7^(U$2-1),1),0)</f>
        <v>0</v>
      </c>
      <c r="V7" s="47">
        <f>IF(CEILING($B7*$D7/3,1)&gt;=V$2,CEILING($F$1*IF($Y$6*$AD$6&gt;=$I$1,1,IF($Y$6*$AD$6&gt;=$H$1,0.5,0))*(1+IF($N$6=$D$1,IF($Y$6*$AD$6&gt;=$K$1,0,IF($Y$6*$AD$6&gt;=$J$1,0,0)),0))*$B7*$D7*$E7^(V$2-1),1),0)</f>
        <v>0</v>
      </c>
      <c r="W7" s="47">
        <f>IF(CEILING($B7*$D7/3,1)&gt;=W$2,CEILING($F$1*IF($Y$6*$AD$6&gt;=$I$1,1,IF($Y$6*$AD$6&gt;=$H$1,0.5,0))*(1+IF($N$6=$D$1,IF($Y$6*$AD$6&gt;=$K$1,0,IF($Y$6*$AD$6&gt;=$J$1,0,0)),0))*$B7*$D7*$E7^(W$2-1),1),0)</f>
        <v>0</v>
      </c>
      <c r="X7" s="47">
        <f>IF(CEILING($B7*$D7/3,1)&gt;=X$2,CEILING($F$1*IF($Y$6*$AD$6&gt;=$I$1,1,IF($Y$6*$AD$6&gt;=$H$1,0.5,0))*(1+IF($N$6=$D$1,IF($Y$6*$AD$6&gt;=$K$1,0,IF($Y$6*$AD$6&gt;=$J$1,0,0)),0))*$B7*$D7*$E7^(X$2-1),1),0)</f>
        <v>0</v>
      </c>
      <c r="Y7" s="47">
        <f>IF(CEILING($B7*$D7/3,1)&gt;=Y$2,CEILING($F$1*IF($Y$6*$AD$6&gt;=$I$1,1,IF($Y$6*$AD$6&gt;=$H$1,0.5,0))*(1+IF($N$6=$D$1,IF($Y$6*$AD$6&gt;=$K$1,0,IF($Y$6*$AD$6&gt;=$J$1,0,0)),0))*$B7*$D7*$E7^(Y$2-1),1),0)</f>
        <v>0</v>
      </c>
      <c r="Z7" s="47">
        <f>IF(CEILING($B7*$D7/3,1)&gt;=Z$2,CEILING($F$1*IF($Y$6*$AD$6&gt;=$I$1,1,IF($Y$6*$AD$6&gt;=$H$1,0.5,0))*(1+IF($N$6=$D$1,IF($Y$6*$AD$6&gt;=$K$1,0,IF($Y$6*$AD$6&gt;=$J$1,0,0)),0))*$B7*$D7*$E7^(Z$2-1),1),0)</f>
        <v>0</v>
      </c>
      <c r="AA7" s="47">
        <f>IF(CEILING($B7*$D7/3,1)&gt;=AA$2,CEILING($F$1*IF($Y$6*$AD$6&gt;=$I$1,1,IF($Y$6*$AD$6&gt;=$H$1,0.5,0))*(1+IF($N$6=$D$1,IF($Y$6*$AD$6&gt;=$K$1,0,IF($Y$6*$AD$6&gt;=$J$1,0,0)),0))*$B7*$D7*$E7^(AA$2-1),1),0)</f>
        <v>0</v>
      </c>
      <c r="AB7" s="47">
        <f>IF(CEILING($B7*$D7/3,1)&gt;=AB$2,CEILING($F$1*IF($Y$6*$AD$6&gt;=$I$1,1,IF($Y$6*$AD$6&gt;=$H$1,0.5,0))*(1+IF($N$6=$D$1,IF($Y$6*$AD$6&gt;=$K$1,0,IF($Y$6*$AD$6&gt;=$J$1,0,0)),0))*$B7*$D7*$E7^(AB$2-1),1),0)</f>
        <v>0</v>
      </c>
      <c r="AC7" s="47">
        <f>IF(CEILING($B7*$D7/3,1)&gt;=AC$2,CEILING($F$1*IF($Y$6*$AD$6&gt;=$I$1,1,IF($Y$6*$AD$6&gt;=$H$1,0.5,0))*(1+IF($N$6=$D$1,IF($Y$6*$AD$6&gt;=$K$1,0,IF($Y$6*$AD$6&gt;=$J$1,0,0)),0))*$B7*$D7*$E7^(AC$2-1),1),0)</f>
        <v>0</v>
      </c>
      <c r="AD7" s="47">
        <f>IF(CEILING($B7*$D7/3,1)&gt;=AD$2,CEILING($F$1*IF($Y$6*$AD$6&gt;=$I$1,1,IF($Y$6*$AD$6&gt;=$H$1,0.5,0))*(1+IF($N$6=$D$1,IF($Y$6*$AD$6&gt;=$K$1,0,IF($Y$6*$AD$6&gt;=$J$1,0,0)),0))*$B7*$D7*$E7^(AD$2-1),1),0)</f>
        <v>0</v>
      </c>
      <c r="AE7" s="47">
        <f>IF(CEILING($B7*$D7/3,1)&gt;=AE$2,CEILING($F$1*IF($Y$6*$AD$6&gt;=$I$1,1,IF($Y$6*$AD$6&gt;=$H$1,0.5,0))*(1+IF($N$6=$D$1,IF($Y$6*$AD$6&gt;=$K$1,0,IF($Y$6*$AD$6&gt;=$J$1,0,0)),0))*$B7*$D7*$E7^(AE$2-1),1),0)</f>
        <v>0</v>
      </c>
      <c r="AF7" s="47">
        <f>IF(CEILING($B7*$D7/3,1)&gt;=AF$2,CEILING($F$1*IF($Y$6*$AD$6&gt;=$I$1,1,IF($Y$6*$AD$6&gt;=$H$1,0.5,0))*(1+IF($N$6=$D$1,IF($Y$6*$AD$6&gt;=$K$1,0,IF($Y$6*$AD$6&gt;=$J$1,0,0)),0))*$B7*$D7*$E7^(AF$2-1),1),0)</f>
        <v>0</v>
      </c>
      <c r="AG7" s="47">
        <f>IF(CEILING($B7*$D7/3,1)&gt;=AG$2,CEILING($F$1*IF($Y$6*$AD$6&gt;=$I$1,1,IF($Y$6*$AD$6&gt;=$H$1,0.5,0))*(1+IF($N$6=$D$1,IF($Y$6*$AD$6&gt;=$K$1,0,IF($Y$6*$AD$6&gt;=$J$1,0,0)),0))*$B7*$D7*$E7^(AG$2-1),1),0)</f>
        <v>0</v>
      </c>
      <c r="AH7" s="47">
        <f>IF(CEILING($B7*$D7/3,1)&gt;=AH$2,CEILING($F$1*IF($Y$6*$AD$6&gt;=$I$1,1,IF($Y$6*$AD$6&gt;=$H$1,0.5,0))*(1+IF($N$6=$D$1,IF($Y$6*$AD$6&gt;=$K$1,0,IF($Y$6*$AD$6&gt;=$J$1,0,0)),0))*$B7*$D7*$E7^(AH$2-1),1),0)</f>
        <v>0</v>
      </c>
      <c r="AI7" s="48">
        <f>IF(CEILING($B7*$D7/3,1)&gt;=AI$2,CEILING($F$1*IF($Y$6*$AD$6&gt;=$I$1,1,IF($Y$6*$AD$6&gt;=$H$1,0.5,0))*(1+IF($N$6=$D$1,IF($Y$6*$AD$6&gt;=$K$1,0,IF($Y$6*$AD$6&gt;=$J$1,0,0)),0))*$B7*$D7*$E7^(AI$2-1),1),0)</f>
        <v>0</v>
      </c>
    </row>
    <row r="8" spans="1:35" x14ac:dyDescent="0.25">
      <c r="A8" s="58">
        <v>2</v>
      </c>
      <c r="B8" s="60">
        <v>0.9</v>
      </c>
      <c r="C8" s="16">
        <v>0</v>
      </c>
      <c r="D8" s="67">
        <f>CEILING(1+MIN(T$6-C8-1,$L$1)+(T$6-C8-1-MIN(T$6-C8-1,$L$1))/$M$1,1)</f>
        <v>16</v>
      </c>
      <c r="E8" s="63">
        <f>MAX(($G$1/($F$1*D8))^(1/(ROUNDUP(D8/3,)-1)),2/3)</f>
        <v>0.66666666666666663</v>
      </c>
      <c r="F8" s="47">
        <f>IF(CEILING($B8*$D8/3,1)&gt;=F$2,CEILING($F$1*IF($Y$6*$AD$6&gt;=$I$1,1,IF($Y$6*$AD$6&gt;=$H$1,0.5,0))*(1+IF($N$6=$D$1,IF($Y$6*$AD$6&gt;=$K$1,0,IF($Y$6*$AD$6&gt;=$J$1,0,0)),0))*$B8*$D8*$E8^(F$2-1),1),0)</f>
        <v>22</v>
      </c>
      <c r="G8" s="47">
        <f>IF(CEILING($B8*$D8/3,1)&gt;=G$2,CEILING($F$1*IF($Y$6*$AD$6&gt;=$I$1,1,IF($Y$6*$AD$6&gt;=$H$1,0.5,0))*(1+IF($N$6=$D$1,IF($Y$6*$AD$6&gt;=$K$1,0,IF($Y$6*$AD$6&gt;=$J$1,0,0)),0))*$B8*$D8*$E8^(G$2-1),1),0)</f>
        <v>15</v>
      </c>
      <c r="H8" s="47">
        <f>IF(CEILING($B8*$D8/3,1)&gt;=H$2,CEILING($F$1*IF($Y$6*$AD$6&gt;=$I$1,1,IF($Y$6*$AD$6&gt;=$H$1,0.5,0))*(1+IF($N$6=$D$1,IF($Y$6*$AD$6&gt;=$K$1,0,IF($Y$6*$AD$6&gt;=$J$1,0,0)),0))*$B8*$D8*$E8^(H$2-1),1),0)</f>
        <v>10</v>
      </c>
      <c r="I8" s="47">
        <f>IF(CEILING($B8*$D8/3,1)&gt;=I$2,CEILING($F$1*IF($Y$6*$AD$6&gt;=$I$1,1,IF($Y$6*$AD$6&gt;=$H$1,0.5,0))*(1+IF($N$6=$D$1,IF($Y$6*$AD$6&gt;=$K$1,0,IF($Y$6*$AD$6&gt;=$J$1,0,0)),0))*$B8*$D8*$E8^(I$2-1),1),0)</f>
        <v>7</v>
      </c>
      <c r="J8" s="47">
        <f>IF(CEILING($B8*$D8/3,1)&gt;=J$2,CEILING($F$1*IF($Y$6*$AD$6&gt;=$I$1,1,IF($Y$6*$AD$6&gt;=$H$1,0.5,0))*(1+IF($N$6=$D$1,IF($Y$6*$AD$6&gt;=$K$1,0,IF($Y$6*$AD$6&gt;=$J$1,0,0)),0))*$B8*$D8*$E8^(J$2-1),1),0)</f>
        <v>5</v>
      </c>
      <c r="K8" s="47">
        <f>IF(CEILING($B8*$D8/3,1)&gt;=K$2,CEILING($F$1*IF($Y$6*$AD$6&gt;=$I$1,1,IF($Y$6*$AD$6&gt;=$H$1,0.5,0))*(1+IF($N$6=$D$1,IF($Y$6*$AD$6&gt;=$K$1,0,IF($Y$6*$AD$6&gt;=$J$1,0,0)),0))*$B8*$D8*$E8^(K$2-1),1),0)</f>
        <v>0</v>
      </c>
      <c r="L8" s="47">
        <f>IF(CEILING($B8*$D8/3,1)&gt;=L$2,CEILING($F$1*IF($Y$6*$AD$6&gt;=$I$1,1,IF($Y$6*$AD$6&gt;=$H$1,0.5,0))*(1+IF($N$6=$D$1,IF($Y$6*$AD$6&gt;=$K$1,0,IF($Y$6*$AD$6&gt;=$J$1,0,0)),0))*$B8*$D8*$E8^(L$2-1),1),0)</f>
        <v>0</v>
      </c>
      <c r="M8" s="47">
        <f>IF(CEILING($B8*$D8/3,1)&gt;=M$2,CEILING($F$1*IF($Y$6*$AD$6&gt;=$I$1,1,IF($Y$6*$AD$6&gt;=$H$1,0.5,0))*(1+IF($N$6=$D$1,IF($Y$6*$AD$6&gt;=$K$1,0,IF($Y$6*$AD$6&gt;=$J$1,0,0)),0))*$B8*$D8*$E8^(M$2-1),1),0)</f>
        <v>0</v>
      </c>
      <c r="N8" s="47">
        <f>IF(CEILING($B8*$D8/3,1)&gt;=N$2,CEILING($F$1*IF($Y$6*$AD$6&gt;=$I$1,1,IF($Y$6*$AD$6&gt;=$H$1,0.5,0))*(1+IF($N$6=$D$1,IF($Y$6*$AD$6&gt;=$K$1,0,IF($Y$6*$AD$6&gt;=$J$1,0,0)),0))*$B8*$D8*$E8^(N$2-1),1),0)</f>
        <v>0</v>
      </c>
      <c r="O8" s="47">
        <f>IF(CEILING($B8*$D8/3,1)&gt;=O$2,CEILING($F$1*IF($Y$6*$AD$6&gt;=$I$1,1,IF($Y$6*$AD$6&gt;=$H$1,0.5,0))*(1+IF($N$6=$D$1,IF($Y$6*$AD$6&gt;=$K$1,0,IF($Y$6*$AD$6&gt;=$J$1,0,0)),0))*$B8*$D8*$E8^(O$2-1),1),0)</f>
        <v>0</v>
      </c>
      <c r="P8" s="47">
        <f>IF(CEILING($B8*$D8/3,1)&gt;=P$2,CEILING($F$1*IF($Y$6*$AD$6&gt;=$I$1,1,IF($Y$6*$AD$6&gt;=$H$1,0.5,0))*(1+IF($N$6=$D$1,IF($Y$6*$AD$6&gt;=$K$1,0,IF($Y$6*$AD$6&gt;=$J$1,0,0)),0))*$B8*$D8*$E8^(P$2-1),1),0)</f>
        <v>0</v>
      </c>
      <c r="Q8" s="47">
        <f>IF(CEILING($B8*$D8/3,1)&gt;=Q$2,CEILING($F$1*IF($Y$6*$AD$6&gt;=$I$1,1,IF($Y$6*$AD$6&gt;=$H$1,0.5,0))*(1+IF($N$6=$D$1,IF($Y$6*$AD$6&gt;=$K$1,0,IF($Y$6*$AD$6&gt;=$J$1,0,0)),0))*$B8*$D8*$E8^(Q$2-1),1),0)</f>
        <v>0</v>
      </c>
      <c r="R8" s="47">
        <f>IF(CEILING($B8*$D8/3,1)&gt;=R$2,CEILING($F$1*IF($Y$6*$AD$6&gt;=$I$1,1,IF($Y$6*$AD$6&gt;=$H$1,0.5,0))*(1+IF($N$6=$D$1,IF($Y$6*$AD$6&gt;=$K$1,0,IF($Y$6*$AD$6&gt;=$J$1,0,0)),0))*$B8*$D8*$E8^(R$2-1),1),0)</f>
        <v>0</v>
      </c>
      <c r="S8" s="47">
        <f>IF(CEILING($B8*$D8/3,1)&gt;=S$2,CEILING($F$1*IF($Y$6*$AD$6&gt;=$I$1,1,IF($Y$6*$AD$6&gt;=$H$1,0.5,0))*(1+IF($N$6=$D$1,IF($Y$6*$AD$6&gt;=$K$1,0,IF($Y$6*$AD$6&gt;=$J$1,0,0)),0))*$B8*$D8*$E8^(S$2-1),1),0)</f>
        <v>0</v>
      </c>
      <c r="T8" s="47">
        <f>IF(CEILING($B8*$D8/3,1)&gt;=T$2,CEILING($F$1*IF($Y$6*$AD$6&gt;=$I$1,1,IF($Y$6*$AD$6&gt;=$H$1,0.5,0))*(1+IF($N$6=$D$1,IF($Y$6*$AD$6&gt;=$K$1,0,IF($Y$6*$AD$6&gt;=$J$1,0,0)),0))*$B8*$D8*$E8^(T$2-1),1),0)</f>
        <v>0</v>
      </c>
      <c r="U8" s="47">
        <f>IF(CEILING($B8*$D8/3,1)&gt;=U$2,CEILING($F$1*IF($Y$6*$AD$6&gt;=$I$1,1,IF($Y$6*$AD$6&gt;=$H$1,0.5,0))*(1+IF($N$6=$D$1,IF($Y$6*$AD$6&gt;=$K$1,0,IF($Y$6*$AD$6&gt;=$J$1,0,0)),0))*$B8*$D8*$E8^(U$2-1),1),0)</f>
        <v>0</v>
      </c>
      <c r="V8" s="47">
        <f>IF(CEILING($B8*$D8/3,1)&gt;=V$2,CEILING($F$1*IF($Y$6*$AD$6&gt;=$I$1,1,IF($Y$6*$AD$6&gt;=$H$1,0.5,0))*(1+IF($N$6=$D$1,IF($Y$6*$AD$6&gt;=$K$1,0,IF($Y$6*$AD$6&gt;=$J$1,0,0)),0))*$B8*$D8*$E8^(V$2-1),1),0)</f>
        <v>0</v>
      </c>
      <c r="W8" s="47">
        <f>IF(CEILING($B8*$D8/3,1)&gt;=W$2,CEILING($F$1*IF($Y$6*$AD$6&gt;=$I$1,1,IF($Y$6*$AD$6&gt;=$H$1,0.5,0))*(1+IF($N$6=$D$1,IF($Y$6*$AD$6&gt;=$K$1,0,IF($Y$6*$AD$6&gt;=$J$1,0,0)),0))*$B8*$D8*$E8^(W$2-1),1),0)</f>
        <v>0</v>
      </c>
      <c r="X8" s="47">
        <f>IF(CEILING($B8*$D8/3,1)&gt;=X$2,CEILING($F$1*IF($Y$6*$AD$6&gt;=$I$1,1,IF($Y$6*$AD$6&gt;=$H$1,0.5,0))*(1+IF($N$6=$D$1,IF($Y$6*$AD$6&gt;=$K$1,0,IF($Y$6*$AD$6&gt;=$J$1,0,0)),0))*$B8*$D8*$E8^(X$2-1),1),0)</f>
        <v>0</v>
      </c>
      <c r="Y8" s="47">
        <f>IF(CEILING($B8*$D8/3,1)&gt;=Y$2,CEILING($F$1*IF($Y$6*$AD$6&gt;=$I$1,1,IF($Y$6*$AD$6&gt;=$H$1,0.5,0))*(1+IF($N$6=$D$1,IF($Y$6*$AD$6&gt;=$K$1,0,IF($Y$6*$AD$6&gt;=$J$1,0,0)),0))*$B8*$D8*$E8^(Y$2-1),1),0)</f>
        <v>0</v>
      </c>
      <c r="Z8" s="47">
        <f>IF(CEILING($B8*$D8/3,1)&gt;=Z$2,CEILING($F$1*IF($Y$6*$AD$6&gt;=$I$1,1,IF($Y$6*$AD$6&gt;=$H$1,0.5,0))*(1+IF($N$6=$D$1,IF($Y$6*$AD$6&gt;=$K$1,0,IF($Y$6*$AD$6&gt;=$J$1,0,0)),0))*$B8*$D8*$E8^(Z$2-1),1),0)</f>
        <v>0</v>
      </c>
      <c r="AA8" s="47">
        <f>IF(CEILING($B8*$D8/3,1)&gt;=AA$2,CEILING($F$1*IF($Y$6*$AD$6&gt;=$I$1,1,IF($Y$6*$AD$6&gt;=$H$1,0.5,0))*(1+IF($N$6=$D$1,IF($Y$6*$AD$6&gt;=$K$1,0,IF($Y$6*$AD$6&gt;=$J$1,0,0)),0))*$B8*$D8*$E8^(AA$2-1),1),0)</f>
        <v>0</v>
      </c>
      <c r="AB8" s="47">
        <f>IF(CEILING($B8*$D8/3,1)&gt;=AB$2,CEILING($F$1*IF($Y$6*$AD$6&gt;=$I$1,1,IF($Y$6*$AD$6&gt;=$H$1,0.5,0))*(1+IF($N$6=$D$1,IF($Y$6*$AD$6&gt;=$K$1,0,IF($Y$6*$AD$6&gt;=$J$1,0,0)),0))*$B8*$D8*$E8^(AB$2-1),1),0)</f>
        <v>0</v>
      </c>
      <c r="AC8" s="47">
        <f>IF(CEILING($B8*$D8/3,1)&gt;=AC$2,CEILING($F$1*IF($Y$6*$AD$6&gt;=$I$1,1,IF($Y$6*$AD$6&gt;=$H$1,0.5,0))*(1+IF($N$6=$D$1,IF($Y$6*$AD$6&gt;=$K$1,0,IF($Y$6*$AD$6&gt;=$J$1,0,0)),0))*$B8*$D8*$E8^(AC$2-1),1),0)</f>
        <v>0</v>
      </c>
      <c r="AD8" s="47">
        <f>IF(CEILING($B8*$D8/3,1)&gt;=AD$2,CEILING($F$1*IF($Y$6*$AD$6&gt;=$I$1,1,IF($Y$6*$AD$6&gt;=$H$1,0.5,0))*(1+IF($N$6=$D$1,IF($Y$6*$AD$6&gt;=$K$1,0,IF($Y$6*$AD$6&gt;=$J$1,0,0)),0))*$B8*$D8*$E8^(AD$2-1),1),0)</f>
        <v>0</v>
      </c>
      <c r="AE8" s="47">
        <f>IF(CEILING($B8*$D8/3,1)&gt;=AE$2,CEILING($F$1*IF($Y$6*$AD$6&gt;=$I$1,1,IF($Y$6*$AD$6&gt;=$H$1,0.5,0))*(1+IF($N$6=$D$1,IF($Y$6*$AD$6&gt;=$K$1,0,IF($Y$6*$AD$6&gt;=$J$1,0,0)),0))*$B8*$D8*$E8^(AE$2-1),1),0)</f>
        <v>0</v>
      </c>
      <c r="AF8" s="47">
        <f>IF(CEILING($B8*$D8/3,1)&gt;=AF$2,CEILING($F$1*IF($Y$6*$AD$6&gt;=$I$1,1,IF($Y$6*$AD$6&gt;=$H$1,0.5,0))*(1+IF($N$6=$D$1,IF($Y$6*$AD$6&gt;=$K$1,0,IF($Y$6*$AD$6&gt;=$J$1,0,0)),0))*$B8*$D8*$E8^(AF$2-1),1),0)</f>
        <v>0</v>
      </c>
      <c r="AG8" s="47">
        <f>IF(CEILING($B8*$D8/3,1)&gt;=AG$2,CEILING($F$1*IF($Y$6*$AD$6&gt;=$I$1,1,IF($Y$6*$AD$6&gt;=$H$1,0.5,0))*(1+IF($N$6=$D$1,IF($Y$6*$AD$6&gt;=$K$1,0,IF($Y$6*$AD$6&gt;=$J$1,0,0)),0))*$B8*$D8*$E8^(AG$2-1),1),0)</f>
        <v>0</v>
      </c>
      <c r="AH8" s="47">
        <f>IF(CEILING($B8*$D8/3,1)&gt;=AH$2,CEILING($F$1*IF($Y$6*$AD$6&gt;=$I$1,1,IF($Y$6*$AD$6&gt;=$H$1,0.5,0))*(1+IF($N$6=$D$1,IF($Y$6*$AD$6&gt;=$K$1,0,IF($Y$6*$AD$6&gt;=$J$1,0,0)),0))*$B8*$D8*$E8^(AH$2-1),1),0)</f>
        <v>0</v>
      </c>
      <c r="AI8" s="48">
        <f>IF(CEILING($B8*$D8/3,1)&gt;=AI$2,CEILING($F$1*IF($Y$6*$AD$6&gt;=$I$1,1,IF($Y$6*$AD$6&gt;=$H$1,0.5,0))*(1+IF($N$6=$D$1,IF($Y$6*$AD$6&gt;=$K$1,0,IF($Y$6*$AD$6&gt;=$J$1,0,0)),0))*$B8*$D8*$E8^(AI$2-1),1),0)</f>
        <v>0</v>
      </c>
    </row>
    <row r="9" spans="1:35" ht="15" customHeight="1" x14ac:dyDescent="0.25">
      <c r="A9" s="58"/>
      <c r="B9" s="60"/>
      <c r="C9" s="6"/>
      <c r="D9" s="68"/>
      <c r="E9" s="64"/>
      <c r="F9" s="49"/>
      <c r="G9" s="49"/>
      <c r="H9" s="49"/>
      <c r="I9" s="49"/>
      <c r="J9" s="50"/>
      <c r="K9" s="50"/>
      <c r="L9" s="50"/>
      <c r="M9" s="50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51"/>
    </row>
    <row r="10" spans="1:35" x14ac:dyDescent="0.25">
      <c r="A10" s="58"/>
      <c r="B10" s="60"/>
      <c r="C10" s="6"/>
      <c r="D10" s="68"/>
      <c r="E10" s="64"/>
      <c r="F10" s="117" t="s">
        <v>11</v>
      </c>
      <c r="G10" s="117"/>
      <c r="H10" s="117"/>
      <c r="I10" s="36">
        <v>3</v>
      </c>
      <c r="J10" s="113" t="s">
        <v>3</v>
      </c>
      <c r="K10" s="113"/>
      <c r="L10" s="113"/>
      <c r="M10" s="113"/>
      <c r="N10" s="118" t="s">
        <v>27</v>
      </c>
      <c r="O10" s="118"/>
      <c r="P10" s="115" t="s">
        <v>1</v>
      </c>
      <c r="Q10" s="115"/>
      <c r="R10" s="115"/>
      <c r="S10" s="115"/>
      <c r="T10" s="15">
        <v>16</v>
      </c>
      <c r="U10" s="116" t="s">
        <v>2</v>
      </c>
      <c r="V10" s="116"/>
      <c r="W10" s="116"/>
      <c r="X10" s="116"/>
      <c r="Y10" s="15">
        <v>15</v>
      </c>
      <c r="Z10" s="116" t="s">
        <v>4</v>
      </c>
      <c r="AA10" s="116"/>
      <c r="AB10" s="116"/>
      <c r="AC10" s="116"/>
      <c r="AD10" s="15">
        <v>2</v>
      </c>
      <c r="AE10" s="26"/>
      <c r="AF10" s="26"/>
      <c r="AG10" s="26"/>
      <c r="AH10" s="26"/>
      <c r="AI10" s="27"/>
    </row>
    <row r="11" spans="1:35" x14ac:dyDescent="0.25">
      <c r="A11" s="58">
        <v>1</v>
      </c>
      <c r="B11" s="60">
        <v>1.1499999999999999</v>
      </c>
      <c r="C11" s="16">
        <v>0</v>
      </c>
      <c r="D11" s="67">
        <f>CEILING(1+MIN(T$10-C11-1,$L$1)+(T$10-C11-1-MIN(T$10-C11-1,$L$1))/$M$1,1)</f>
        <v>16</v>
      </c>
      <c r="E11" s="63">
        <f>MAX(($G$1/($F$1*D11))^(1/(ROUNDUP(D11/3,)-1)),2/3)</f>
        <v>0.66666666666666663</v>
      </c>
      <c r="F11" s="47">
        <f>IF(CEILING($B11*$D11/3,1)&gt;=F$2,CEILING($F$1*IF($Y$10*$AD$10&gt;=$I$1,1,IF($Y$10*$AD$10&gt;=$H$1,0.5,0))*(1+IF($N$10=$D$1,IF($Y$10*$AD$10&gt;=$K$1,0,IF($Y$10*$AD$10&gt;=$J$1,0,0)),0))*$B11*$D11*$E11^(F$2-1),1),0)</f>
        <v>28</v>
      </c>
      <c r="G11" s="47">
        <f>IF(CEILING($B11*$D11/3,1)&gt;=G$2,CEILING($F$1*IF($Y$10*$AD$10&gt;=$I$1,1,IF($Y$10*$AD$10&gt;=$H$1,0.5,0))*(1+IF($N$10=$D$1,IF($Y$10*$AD$10&gt;=$K$1,0,IF($Y$10*$AD$10&gt;=$J$1,0,0)),0))*$B11*$D11*$E11^(G$2-1),1),0)</f>
        <v>19</v>
      </c>
      <c r="H11" s="47">
        <f>IF(CEILING($B11*$D11/3,1)&gt;=H$2,CEILING($F$1*IF($Y$10*$AD$10&gt;=$I$1,1,IF($Y$10*$AD$10&gt;=$H$1,0.5,0))*(1+IF($N$10=$D$1,IF($Y$10*$AD$10&gt;=$K$1,0,IF($Y$10*$AD$10&gt;=$J$1,0,0)),0))*$B11*$D11*$E11^(H$2-1),1),0)</f>
        <v>13</v>
      </c>
      <c r="I11" s="47">
        <f>IF(CEILING($B11*$D11/3,1)&gt;=I$2,CEILING($F$1*IF($Y$10*$AD$10&gt;=$I$1,1,IF($Y$10*$AD$10&gt;=$H$1,0.5,0))*(1+IF($N$10=$D$1,IF($Y$10*$AD$10&gt;=$K$1,0,IF($Y$10*$AD$10&gt;=$J$1,0,0)),0))*$B11*$D11*$E11^(I$2-1),1),0)</f>
        <v>9</v>
      </c>
      <c r="J11" s="47">
        <f>IF(CEILING($B11*$D11/3,1)&gt;=J$2,CEILING($F$1*IF($Y$10*$AD$10&gt;=$I$1,1,IF($Y$10*$AD$10&gt;=$H$1,0.5,0))*(1+IF($N$10=$D$1,IF($Y$10*$AD$10&gt;=$K$1,0,IF($Y$10*$AD$10&gt;=$J$1,0,0)),0))*$B11*$D11*$E11^(J$2-1),1),0)</f>
        <v>6</v>
      </c>
      <c r="K11" s="47">
        <f>IF(CEILING($B11*$D11/3,1)&gt;=K$2,CEILING($F$1*IF($Y$10*$AD$10&gt;=$I$1,1,IF($Y$10*$AD$10&gt;=$H$1,0.5,0))*(1+IF($N$10=$D$1,IF($Y$10*$AD$10&gt;=$K$1,0,IF($Y$10*$AD$10&gt;=$J$1,0,0)),0))*$B11*$D11*$E11^(K$2-1),1),0)</f>
        <v>4</v>
      </c>
      <c r="L11" s="47">
        <f>IF(CEILING($B11*$D11/3,1)&gt;=L$2,CEILING($F$1*IF($Y$10*$AD$10&gt;=$I$1,1,IF($Y$10*$AD$10&gt;=$H$1,0.5,0))*(1+IF($N$10=$D$1,IF($Y$10*$AD$10&gt;=$K$1,0,IF($Y$10*$AD$10&gt;=$J$1,0,0)),0))*$B11*$D11*$E11^(L$2-1),1),0)</f>
        <v>3</v>
      </c>
      <c r="M11" s="47">
        <f>IF(CEILING($B11*$D11/3,1)&gt;=M$2,CEILING($F$1*IF($Y$10*$AD$10&gt;=$I$1,1,IF($Y$10*$AD$10&gt;=$H$1,0.5,0))*(1+IF($N$10=$D$1,IF($Y$10*$AD$10&gt;=$K$1,0,IF($Y$10*$AD$10&gt;=$J$1,0,0)),0))*$B11*$D11*$E11^(M$2-1),1),0)</f>
        <v>0</v>
      </c>
      <c r="N11" s="47">
        <f>IF(CEILING($B11*$D11/3,1)&gt;=N$2,CEILING($F$1*IF($Y$10*$AD$10&gt;=$I$1,1,IF($Y$10*$AD$10&gt;=$H$1,0.5,0))*(1+IF($N$10=$D$1,IF($Y$10*$AD$10&gt;=$K$1,0,IF($Y$10*$AD$10&gt;=$J$1,0,0)),0))*$B11*$D11*$E11^(N$2-1),1),0)</f>
        <v>0</v>
      </c>
      <c r="O11" s="47">
        <f>IF(CEILING($B11*$D11/3,1)&gt;=O$2,CEILING($F$1*IF($Y$10*$AD$10&gt;=$I$1,1,IF($Y$10*$AD$10&gt;=$H$1,0.5,0))*(1+IF($N$10=$D$1,IF($Y$10*$AD$10&gt;=$K$1,0,IF($Y$10*$AD$10&gt;=$J$1,0,0)),0))*$B11*$D11*$E11^(O$2-1),1),0)</f>
        <v>0</v>
      </c>
      <c r="P11" s="47">
        <f>IF(CEILING($B11*$D11/3,1)&gt;=P$2,CEILING($F$1*IF($Y$10*$AD$10&gt;=$I$1,1,IF($Y$10*$AD$10&gt;=$H$1,0.5,0))*(1+IF($N$10=$D$1,IF($Y$10*$AD$10&gt;=$K$1,0,IF($Y$10*$AD$10&gt;=$J$1,0,0)),0))*$B11*$D11*$E11^(P$2-1),1),0)</f>
        <v>0</v>
      </c>
      <c r="Q11" s="47">
        <f>IF(CEILING($B11*$D11/3,1)&gt;=Q$2,CEILING($F$1*IF($Y$10*$AD$10&gt;=$I$1,1,IF($Y$10*$AD$10&gt;=$H$1,0.5,0))*(1+IF($N$10=$D$1,IF($Y$10*$AD$10&gt;=$K$1,0,IF($Y$10*$AD$10&gt;=$J$1,0,0)),0))*$B11*$D11*$E11^(Q$2-1),1),0)</f>
        <v>0</v>
      </c>
      <c r="R11" s="47">
        <f>IF(CEILING($B11*$D11/3,1)&gt;=R$2,CEILING($F$1*IF($Y$10*$AD$10&gt;=$I$1,1,IF($Y$10*$AD$10&gt;=$H$1,0.5,0))*(1+IF($N$10=$D$1,IF($Y$10*$AD$10&gt;=$K$1,0,IF($Y$10*$AD$10&gt;=$J$1,0,0)),0))*$B11*$D11*$E11^(R$2-1),1),0)</f>
        <v>0</v>
      </c>
      <c r="S11" s="47">
        <f>IF(CEILING($B11*$D11/3,1)&gt;=S$2,CEILING($F$1*IF($Y$10*$AD$10&gt;=$I$1,1,IF($Y$10*$AD$10&gt;=$H$1,0.5,0))*(1+IF($N$10=$D$1,IF($Y$10*$AD$10&gt;=$K$1,0,IF($Y$10*$AD$10&gt;=$J$1,0,0)),0))*$B11*$D11*$E11^(S$2-1),1),0)</f>
        <v>0</v>
      </c>
      <c r="T11" s="47">
        <f>IF(CEILING($B11*$D11/3,1)&gt;=T$2,CEILING($F$1*IF($Y$10*$AD$10&gt;=$I$1,1,IF($Y$10*$AD$10&gt;=$H$1,0.5,0))*(1+IF($N$10=$D$1,IF($Y$10*$AD$10&gt;=$K$1,0,IF($Y$10*$AD$10&gt;=$J$1,0,0)),0))*$B11*$D11*$E11^(T$2-1),1),0)</f>
        <v>0</v>
      </c>
      <c r="U11" s="47">
        <f>IF(CEILING($B11*$D11/3,1)&gt;=U$2,CEILING($F$1*IF($Y$10*$AD$10&gt;=$I$1,1,IF($Y$10*$AD$10&gt;=$H$1,0.5,0))*(1+IF($N$10=$D$1,IF($Y$10*$AD$10&gt;=$K$1,0,IF($Y$10*$AD$10&gt;=$J$1,0,0)),0))*$B11*$D11*$E11^(U$2-1),1),0)</f>
        <v>0</v>
      </c>
      <c r="V11" s="47">
        <f>IF(CEILING($B11*$D11/3,1)&gt;=V$2,CEILING($F$1*IF($Y$10*$AD$10&gt;=$I$1,1,IF($Y$10*$AD$10&gt;=$H$1,0.5,0))*(1+IF($N$10=$D$1,IF($Y$10*$AD$10&gt;=$K$1,0,IF($Y$10*$AD$10&gt;=$J$1,0,0)),0))*$B11*$D11*$E11^(V$2-1),1),0)</f>
        <v>0</v>
      </c>
      <c r="W11" s="47">
        <f>IF(CEILING($B11*$D11/3,1)&gt;=W$2,CEILING($F$1*IF($Y$10*$AD$10&gt;=$I$1,1,IF($Y$10*$AD$10&gt;=$H$1,0.5,0))*(1+IF($N$10=$D$1,IF($Y$10*$AD$10&gt;=$K$1,0,IF($Y$10*$AD$10&gt;=$J$1,0,0)),0))*$B11*$D11*$E11^(W$2-1),1),0)</f>
        <v>0</v>
      </c>
      <c r="X11" s="47">
        <f>IF(CEILING($B11*$D11/3,1)&gt;=X$2,CEILING($F$1*IF($Y$10*$AD$10&gt;=$I$1,1,IF($Y$10*$AD$10&gt;=$H$1,0.5,0))*(1+IF($N$10=$D$1,IF($Y$10*$AD$10&gt;=$K$1,0,IF($Y$10*$AD$10&gt;=$J$1,0,0)),0))*$B11*$D11*$E11^(X$2-1),1),0)</f>
        <v>0</v>
      </c>
      <c r="Y11" s="47">
        <f>IF(CEILING($B11*$D11/3,1)&gt;=Y$2,CEILING($F$1*IF($Y$10*$AD$10&gt;=$I$1,1,IF($Y$10*$AD$10&gt;=$H$1,0.5,0))*(1+IF($N$10=$D$1,IF($Y$10*$AD$10&gt;=$K$1,0,IF($Y$10*$AD$10&gt;=$J$1,0,0)),0))*$B11*$D11*$E11^(Y$2-1),1),0)</f>
        <v>0</v>
      </c>
      <c r="Z11" s="47">
        <f>IF(CEILING($B11*$D11/3,1)&gt;=Z$2,CEILING($F$1*IF($Y$10*$AD$10&gt;=$I$1,1,IF($Y$10*$AD$10&gt;=$H$1,0.5,0))*(1+IF($N$10=$D$1,IF($Y$10*$AD$10&gt;=$K$1,0,IF($Y$10*$AD$10&gt;=$J$1,0,0)),0))*$B11*$D11*$E11^(Z$2-1),1),0)</f>
        <v>0</v>
      </c>
      <c r="AA11" s="47">
        <f>IF(CEILING($B11*$D11/3,1)&gt;=AA$2,CEILING($F$1*IF($Y$10*$AD$10&gt;=$I$1,1,IF($Y$10*$AD$10&gt;=$H$1,0.5,0))*(1+IF($N$10=$D$1,IF($Y$10*$AD$10&gt;=$K$1,0,IF($Y$10*$AD$10&gt;=$J$1,0,0)),0))*$B11*$D11*$E11^(AA$2-1),1),0)</f>
        <v>0</v>
      </c>
      <c r="AB11" s="47">
        <f>IF(CEILING($B11*$D11/3,1)&gt;=AB$2,CEILING($F$1*IF($Y$10*$AD$10&gt;=$I$1,1,IF($Y$10*$AD$10&gt;=$H$1,0.5,0))*(1+IF($N$10=$D$1,IF($Y$10*$AD$10&gt;=$K$1,0,IF($Y$10*$AD$10&gt;=$J$1,0,0)),0))*$B11*$D11*$E11^(AB$2-1),1),0)</f>
        <v>0</v>
      </c>
      <c r="AC11" s="47">
        <f>IF(CEILING($B11*$D11/3,1)&gt;=AC$2,CEILING($F$1*IF($Y$10*$AD$10&gt;=$I$1,1,IF($Y$10*$AD$10&gt;=$H$1,0.5,0))*(1+IF($N$10=$D$1,IF($Y$10*$AD$10&gt;=$K$1,0,IF($Y$10*$AD$10&gt;=$J$1,0,0)),0))*$B11*$D11*$E11^(AC$2-1),1),0)</f>
        <v>0</v>
      </c>
      <c r="AD11" s="47">
        <f>IF(CEILING($B11*$D11/3,1)&gt;=AD$2,CEILING($F$1*IF($Y$10*$AD$10&gt;=$I$1,1,IF($Y$10*$AD$10&gt;=$H$1,0.5,0))*(1+IF($N$10=$D$1,IF($Y$10*$AD$10&gt;=$K$1,0,IF($Y$10*$AD$10&gt;=$J$1,0,0)),0))*$B11*$D11*$E11^(AD$2-1),1),0)</f>
        <v>0</v>
      </c>
      <c r="AE11" s="47">
        <f>IF(CEILING($B11*$D11/3,1)&gt;=AE$2,CEILING($F$1*IF($Y$10*$AD$10&gt;=$I$1,1,IF($Y$10*$AD$10&gt;=$H$1,0.5,0))*(1+IF($N$10=$D$1,IF($Y$10*$AD$10&gt;=$K$1,0,IF($Y$10*$AD$10&gt;=$J$1,0,0)),0))*$B11*$D11*$E11^(AE$2-1),1),0)</f>
        <v>0</v>
      </c>
      <c r="AF11" s="47">
        <f>IF(CEILING($B11*$D11/3,1)&gt;=AF$2,CEILING($F$1*IF($Y$10*$AD$10&gt;=$I$1,1,IF($Y$10*$AD$10&gt;=$H$1,0.5,0))*(1+IF($N$10=$D$1,IF($Y$10*$AD$10&gt;=$K$1,0,IF($Y$10*$AD$10&gt;=$J$1,0,0)),0))*$B11*$D11*$E11^(AF$2-1),1),0)</f>
        <v>0</v>
      </c>
      <c r="AG11" s="47">
        <f>IF(CEILING($B11*$D11/3,1)&gt;=AG$2,CEILING($F$1*IF($Y$10*$AD$10&gt;=$I$1,1,IF($Y$10*$AD$10&gt;=$H$1,0.5,0))*(1+IF($N$10=$D$1,IF($Y$10*$AD$10&gt;=$K$1,0,IF($Y$10*$AD$10&gt;=$J$1,0,0)),0))*$B11*$D11*$E11^(AG$2-1),1),0)</f>
        <v>0</v>
      </c>
      <c r="AH11" s="47">
        <f>IF(CEILING($B11*$D11/3,1)&gt;=AH$2,CEILING($F$1*IF($Y$10*$AD$10&gt;=$I$1,1,IF($Y$10*$AD$10&gt;=$H$1,0.5,0))*(1+IF($N$10=$D$1,IF($Y$10*$AD$10&gt;=$K$1,0,IF($Y$10*$AD$10&gt;=$J$1,0,0)),0))*$B11*$D11*$E11^(AH$2-1),1),0)</f>
        <v>0</v>
      </c>
      <c r="AI11" s="48">
        <f>IF(CEILING($B11*$D11/3,1)&gt;=AI$2,CEILING($F$1*IF($Y$10*$AD$10&gt;=$I$1,1,IF($Y$10*$AD$10&gt;=$H$1,0.5,0))*(1+IF($N$10=$D$1,IF($Y$10*$AD$10&gt;=$K$1,0,IF($Y$10*$AD$10&gt;=$J$1,0,0)),0))*$B11*$D11*$E11^(AI$2-1),1),0)</f>
        <v>0</v>
      </c>
    </row>
    <row r="12" spans="1:35" x14ac:dyDescent="0.25">
      <c r="A12" s="58">
        <v>2</v>
      </c>
      <c r="B12" s="60">
        <v>1</v>
      </c>
      <c r="C12" s="16">
        <v>0</v>
      </c>
      <c r="D12" s="67">
        <f t="shared" ref="D12:D13" si="0">CEILING(1+MIN(T$10-C12-1,$L$1)+(T$10-C12-1-MIN(T$10-C12-1,$L$1))/$M$1,1)</f>
        <v>16</v>
      </c>
      <c r="E12" s="63">
        <f>MAX(($G$1/($F$1*D12))^(1/(ROUNDUP(D12/3,)-1)),2/3)</f>
        <v>0.66666666666666663</v>
      </c>
      <c r="F12" s="47">
        <f>IF(CEILING($B12*$D12/3,1)&gt;=F$2,CEILING($F$1*IF($Y$10*$AD$10&gt;=$I$1,1,IF($Y$10*$AD$10&gt;=$H$1,0.5,0))*(1+IF($N$10=$D$1,IF($Y$10*$AD$10&gt;=$K$1,0,IF($Y$10*$AD$10&gt;=$J$1,0,0)),0))*$B12*$D12*$E12^(F$2-1),1),0)</f>
        <v>24</v>
      </c>
      <c r="G12" s="47">
        <f>IF(CEILING($B12*$D12/3,1)&gt;=G$2,CEILING($F$1*IF($Y$10*$AD$10&gt;=$I$1,1,IF($Y$10*$AD$10&gt;=$H$1,0.5,0))*(1+IF($N$10=$D$1,IF($Y$10*$AD$10&gt;=$K$1,0,IF($Y$10*$AD$10&gt;=$J$1,0,0)),0))*$B12*$D12*$E12^(G$2-1),1),0)</f>
        <v>16</v>
      </c>
      <c r="H12" s="47">
        <f>IF(CEILING($B12*$D12/3,1)&gt;=H$2,CEILING($F$1*IF($Y$10*$AD$10&gt;=$I$1,1,IF($Y$10*$AD$10&gt;=$H$1,0.5,0))*(1+IF($N$10=$D$1,IF($Y$10*$AD$10&gt;=$K$1,0,IF($Y$10*$AD$10&gt;=$J$1,0,0)),0))*$B12*$D12*$E12^(H$2-1),1),0)</f>
        <v>11</v>
      </c>
      <c r="I12" s="47">
        <f>IF(CEILING($B12*$D12/3,1)&gt;=I$2,CEILING($F$1*IF($Y$10*$AD$10&gt;=$I$1,1,IF($Y$10*$AD$10&gt;=$H$1,0.5,0))*(1+IF($N$10=$D$1,IF($Y$10*$AD$10&gt;=$K$1,0,IF($Y$10*$AD$10&gt;=$J$1,0,0)),0))*$B12*$D12*$E12^(I$2-1),1),0)</f>
        <v>8</v>
      </c>
      <c r="J12" s="47">
        <f>IF(CEILING($B12*$D12/3,1)&gt;=J$2,CEILING($F$1*IF($Y$10*$AD$10&gt;=$I$1,1,IF($Y$10*$AD$10&gt;=$H$1,0.5,0))*(1+IF($N$10=$D$1,IF($Y$10*$AD$10&gt;=$K$1,0,IF($Y$10*$AD$10&gt;=$J$1,0,0)),0))*$B12*$D12*$E12^(J$2-1),1),0)</f>
        <v>5</v>
      </c>
      <c r="K12" s="47">
        <f>IF(CEILING($B12*$D12/3,1)&gt;=K$2,CEILING($F$1*IF($Y$10*$AD$10&gt;=$I$1,1,IF($Y$10*$AD$10&gt;=$H$1,0.5,0))*(1+IF($N$10=$D$1,IF($Y$10*$AD$10&gt;=$K$1,0,IF($Y$10*$AD$10&gt;=$J$1,0,0)),0))*$B12*$D12*$E12^(K$2-1),1),0)</f>
        <v>4</v>
      </c>
      <c r="L12" s="47">
        <f>IF(CEILING($B12*$D12/3,1)&gt;=L$2,CEILING($F$1*IF($Y$10*$AD$10&gt;=$I$1,1,IF($Y$10*$AD$10&gt;=$H$1,0.5,0))*(1+IF($N$10=$D$1,IF($Y$10*$AD$10&gt;=$K$1,0,IF($Y$10*$AD$10&gt;=$J$1,0,0)),0))*$B12*$D12*$E12^(L$2-1),1),0)</f>
        <v>0</v>
      </c>
      <c r="M12" s="47">
        <f>IF(CEILING($B12*$D12/3,1)&gt;=M$2,CEILING($F$1*IF($Y$10*$AD$10&gt;=$I$1,1,IF($Y$10*$AD$10&gt;=$H$1,0.5,0))*(1+IF($N$10=$D$1,IF($Y$10*$AD$10&gt;=$K$1,0,IF($Y$10*$AD$10&gt;=$J$1,0,0)),0))*$B12*$D12*$E12^(M$2-1),1),0)</f>
        <v>0</v>
      </c>
      <c r="N12" s="47">
        <f>IF(CEILING($B12*$D12/3,1)&gt;=N$2,CEILING($F$1*IF($Y$10*$AD$10&gt;=$I$1,1,IF($Y$10*$AD$10&gt;=$H$1,0.5,0))*(1+IF($N$10=$D$1,IF($Y$10*$AD$10&gt;=$K$1,0,IF($Y$10*$AD$10&gt;=$J$1,0,0)),0))*$B12*$D12*$E12^(N$2-1),1),0)</f>
        <v>0</v>
      </c>
      <c r="O12" s="47">
        <f>IF(CEILING($B12*$D12/3,1)&gt;=O$2,CEILING($F$1*IF($Y$10*$AD$10&gt;=$I$1,1,IF($Y$10*$AD$10&gt;=$H$1,0.5,0))*(1+IF($N$10=$D$1,IF($Y$10*$AD$10&gt;=$K$1,0,IF($Y$10*$AD$10&gt;=$J$1,0,0)),0))*$B12*$D12*$E12^(O$2-1),1),0)</f>
        <v>0</v>
      </c>
      <c r="P12" s="47">
        <f>IF(CEILING($B12*$D12/3,1)&gt;=P$2,CEILING($F$1*IF($Y$10*$AD$10&gt;=$I$1,1,IF($Y$10*$AD$10&gt;=$H$1,0.5,0))*(1+IF($N$10=$D$1,IF($Y$10*$AD$10&gt;=$K$1,0,IF($Y$10*$AD$10&gt;=$J$1,0,0)),0))*$B12*$D12*$E12^(P$2-1),1),0)</f>
        <v>0</v>
      </c>
      <c r="Q12" s="47">
        <f>IF(CEILING($B12*$D12/3,1)&gt;=Q$2,CEILING($F$1*IF($Y$10*$AD$10&gt;=$I$1,1,IF($Y$10*$AD$10&gt;=$H$1,0.5,0))*(1+IF($N$10=$D$1,IF($Y$10*$AD$10&gt;=$K$1,0,IF($Y$10*$AD$10&gt;=$J$1,0,0)),0))*$B12*$D12*$E12^(Q$2-1),1),0)</f>
        <v>0</v>
      </c>
      <c r="R12" s="47">
        <f>IF(CEILING($B12*$D12/3,1)&gt;=R$2,CEILING($F$1*IF($Y$10*$AD$10&gt;=$I$1,1,IF($Y$10*$AD$10&gt;=$H$1,0.5,0))*(1+IF($N$10=$D$1,IF($Y$10*$AD$10&gt;=$K$1,0,IF($Y$10*$AD$10&gt;=$J$1,0,0)),0))*$B12*$D12*$E12^(R$2-1),1),0)</f>
        <v>0</v>
      </c>
      <c r="S12" s="47">
        <f>IF(CEILING($B12*$D12/3,1)&gt;=S$2,CEILING($F$1*IF($Y$10*$AD$10&gt;=$I$1,1,IF($Y$10*$AD$10&gt;=$H$1,0.5,0))*(1+IF($N$10=$D$1,IF($Y$10*$AD$10&gt;=$K$1,0,IF($Y$10*$AD$10&gt;=$J$1,0,0)),0))*$B12*$D12*$E12^(S$2-1),1),0)</f>
        <v>0</v>
      </c>
      <c r="T12" s="47">
        <f>IF(CEILING($B12*$D12/3,1)&gt;=T$2,CEILING($F$1*IF($Y$10*$AD$10&gt;=$I$1,1,IF($Y$10*$AD$10&gt;=$H$1,0.5,0))*(1+IF($N$10=$D$1,IF($Y$10*$AD$10&gt;=$K$1,0,IF($Y$10*$AD$10&gt;=$J$1,0,0)),0))*$B12*$D12*$E12^(T$2-1),1),0)</f>
        <v>0</v>
      </c>
      <c r="U12" s="47">
        <f>IF(CEILING($B12*$D12/3,1)&gt;=U$2,CEILING($F$1*IF($Y$10*$AD$10&gt;=$I$1,1,IF($Y$10*$AD$10&gt;=$H$1,0.5,0))*(1+IF($N$10=$D$1,IF($Y$10*$AD$10&gt;=$K$1,0,IF($Y$10*$AD$10&gt;=$J$1,0,0)),0))*$B12*$D12*$E12^(U$2-1),1),0)</f>
        <v>0</v>
      </c>
      <c r="V12" s="47">
        <f>IF(CEILING($B12*$D12/3,1)&gt;=V$2,CEILING($F$1*IF($Y$10*$AD$10&gt;=$I$1,1,IF($Y$10*$AD$10&gt;=$H$1,0.5,0))*(1+IF($N$10=$D$1,IF($Y$10*$AD$10&gt;=$K$1,0,IF($Y$10*$AD$10&gt;=$J$1,0,0)),0))*$B12*$D12*$E12^(V$2-1),1),0)</f>
        <v>0</v>
      </c>
      <c r="W12" s="47">
        <f>IF(CEILING($B12*$D12/3,1)&gt;=W$2,CEILING($F$1*IF($Y$10*$AD$10&gt;=$I$1,1,IF($Y$10*$AD$10&gt;=$H$1,0.5,0))*(1+IF($N$10=$D$1,IF($Y$10*$AD$10&gt;=$K$1,0,IF($Y$10*$AD$10&gt;=$J$1,0,0)),0))*$B12*$D12*$E12^(W$2-1),1),0)</f>
        <v>0</v>
      </c>
      <c r="X12" s="47">
        <f>IF(CEILING($B12*$D12/3,1)&gt;=X$2,CEILING($F$1*IF($Y$10*$AD$10&gt;=$I$1,1,IF($Y$10*$AD$10&gt;=$H$1,0.5,0))*(1+IF($N$10=$D$1,IF($Y$10*$AD$10&gt;=$K$1,0,IF($Y$10*$AD$10&gt;=$J$1,0,0)),0))*$B12*$D12*$E12^(X$2-1),1),0)</f>
        <v>0</v>
      </c>
      <c r="Y12" s="47">
        <f>IF(CEILING($B12*$D12/3,1)&gt;=Y$2,CEILING($F$1*IF($Y$10*$AD$10&gt;=$I$1,1,IF($Y$10*$AD$10&gt;=$H$1,0.5,0))*(1+IF($N$10=$D$1,IF($Y$10*$AD$10&gt;=$K$1,0,IF($Y$10*$AD$10&gt;=$J$1,0,0)),0))*$B12*$D12*$E12^(Y$2-1),1),0)</f>
        <v>0</v>
      </c>
      <c r="Z12" s="47">
        <f>IF(CEILING($B12*$D12/3,1)&gt;=Z$2,CEILING($F$1*IF($Y$10*$AD$10&gt;=$I$1,1,IF($Y$10*$AD$10&gt;=$H$1,0.5,0))*(1+IF($N$10=$D$1,IF($Y$10*$AD$10&gt;=$K$1,0,IF($Y$10*$AD$10&gt;=$J$1,0,0)),0))*$B12*$D12*$E12^(Z$2-1),1),0)</f>
        <v>0</v>
      </c>
      <c r="AA12" s="47">
        <f>IF(CEILING($B12*$D12/3,1)&gt;=AA$2,CEILING($F$1*IF($Y$10*$AD$10&gt;=$I$1,1,IF($Y$10*$AD$10&gt;=$H$1,0.5,0))*(1+IF($N$10=$D$1,IF($Y$10*$AD$10&gt;=$K$1,0,IF($Y$10*$AD$10&gt;=$J$1,0,0)),0))*$B12*$D12*$E12^(AA$2-1),1),0)</f>
        <v>0</v>
      </c>
      <c r="AB12" s="47">
        <f>IF(CEILING($B12*$D12/3,1)&gt;=AB$2,CEILING($F$1*IF($Y$10*$AD$10&gt;=$I$1,1,IF($Y$10*$AD$10&gt;=$H$1,0.5,0))*(1+IF($N$10=$D$1,IF($Y$10*$AD$10&gt;=$K$1,0,IF($Y$10*$AD$10&gt;=$J$1,0,0)),0))*$B12*$D12*$E12^(AB$2-1),1),0)</f>
        <v>0</v>
      </c>
      <c r="AC12" s="47">
        <f>IF(CEILING($B12*$D12/3,1)&gt;=AC$2,CEILING($F$1*IF($Y$10*$AD$10&gt;=$I$1,1,IF($Y$10*$AD$10&gt;=$H$1,0.5,0))*(1+IF($N$10=$D$1,IF($Y$10*$AD$10&gt;=$K$1,0,IF($Y$10*$AD$10&gt;=$J$1,0,0)),0))*$B12*$D12*$E12^(AC$2-1),1),0)</f>
        <v>0</v>
      </c>
      <c r="AD12" s="47">
        <f>IF(CEILING($B12*$D12/3,1)&gt;=AD$2,CEILING($F$1*IF($Y$10*$AD$10&gt;=$I$1,1,IF($Y$10*$AD$10&gt;=$H$1,0.5,0))*(1+IF($N$10=$D$1,IF($Y$10*$AD$10&gt;=$K$1,0,IF($Y$10*$AD$10&gt;=$J$1,0,0)),0))*$B12*$D12*$E12^(AD$2-1),1),0)</f>
        <v>0</v>
      </c>
      <c r="AE12" s="47">
        <f>IF(CEILING($B12*$D12/3,1)&gt;=AE$2,CEILING($F$1*IF($Y$10*$AD$10&gt;=$I$1,1,IF($Y$10*$AD$10&gt;=$H$1,0.5,0))*(1+IF($N$10=$D$1,IF($Y$10*$AD$10&gt;=$K$1,0,IF($Y$10*$AD$10&gt;=$J$1,0,0)),0))*$B12*$D12*$E12^(AE$2-1),1),0)</f>
        <v>0</v>
      </c>
      <c r="AF12" s="47">
        <f>IF(CEILING($B12*$D12/3,1)&gt;=AF$2,CEILING($F$1*IF($Y$10*$AD$10&gt;=$I$1,1,IF($Y$10*$AD$10&gt;=$H$1,0.5,0))*(1+IF($N$10=$D$1,IF($Y$10*$AD$10&gt;=$K$1,0,IF($Y$10*$AD$10&gt;=$J$1,0,0)),0))*$B12*$D12*$E12^(AF$2-1),1),0)</f>
        <v>0</v>
      </c>
      <c r="AG12" s="47">
        <f>IF(CEILING($B12*$D12/3,1)&gt;=AG$2,CEILING($F$1*IF($Y$10*$AD$10&gt;=$I$1,1,IF($Y$10*$AD$10&gt;=$H$1,0.5,0))*(1+IF($N$10=$D$1,IF($Y$10*$AD$10&gt;=$K$1,0,IF($Y$10*$AD$10&gt;=$J$1,0,0)),0))*$B12*$D12*$E12^(AG$2-1),1),0)</f>
        <v>0</v>
      </c>
      <c r="AH12" s="47">
        <f>IF(CEILING($B12*$D12/3,1)&gt;=AH$2,CEILING($F$1*IF($Y$10*$AD$10&gt;=$I$1,1,IF($Y$10*$AD$10&gt;=$H$1,0.5,0))*(1+IF($N$10=$D$1,IF($Y$10*$AD$10&gt;=$K$1,0,IF($Y$10*$AD$10&gt;=$J$1,0,0)),0))*$B12*$D12*$E12^(AH$2-1),1),0)</f>
        <v>0</v>
      </c>
      <c r="AI12" s="48">
        <f>IF(CEILING($B12*$D12/3,1)&gt;=AI$2,CEILING($F$1*IF($Y$10*$AD$10&gt;=$I$1,1,IF($Y$10*$AD$10&gt;=$H$1,0.5,0))*(1+IF($N$10=$D$1,IF($Y$10*$AD$10&gt;=$K$1,0,IF($Y$10*$AD$10&gt;=$J$1,0,0)),0))*$B12*$D12*$E12^(AI$2-1),1),0)</f>
        <v>0</v>
      </c>
    </row>
    <row r="13" spans="1:35" x14ac:dyDescent="0.25">
      <c r="A13" s="58">
        <v>3</v>
      </c>
      <c r="B13" s="60">
        <v>0.85</v>
      </c>
      <c r="C13" s="16">
        <v>0</v>
      </c>
      <c r="D13" s="67">
        <f t="shared" si="0"/>
        <v>16</v>
      </c>
      <c r="E13" s="63">
        <f>MAX(($G$1/($F$1*D13))^(1/(ROUNDUP(D13/3,)-1)),2/3)</f>
        <v>0.66666666666666663</v>
      </c>
      <c r="F13" s="47">
        <f>IF(CEILING($B13*$D13/3,1)&gt;=F$2,CEILING($F$1*IF($Y$10*$AD$10&gt;=$I$1,1,IF($Y$10*$AD$10&gt;=$H$1,0.5,0))*(1+IF($N$10=$D$1,IF($Y$10*$AD$10&gt;=$K$1,0,IF($Y$10*$AD$10&gt;=$J$1,0,0)),0))*$B13*$D13*$E13^(F$2-1),1),0)</f>
        <v>21</v>
      </c>
      <c r="G13" s="47">
        <f>IF(CEILING($B13*$D13/3,1)&gt;=G$2,CEILING($F$1*IF($Y$10*$AD$10&gt;=$I$1,1,IF($Y$10*$AD$10&gt;=$H$1,0.5,0))*(1+IF($N$10=$D$1,IF($Y$10*$AD$10&gt;=$K$1,0,IF($Y$10*$AD$10&gt;=$J$1,0,0)),0))*$B13*$D13*$E13^(G$2-1),1),0)</f>
        <v>14</v>
      </c>
      <c r="H13" s="47">
        <f>IF(CEILING($B13*$D13/3,1)&gt;=H$2,CEILING($F$1*IF($Y$10*$AD$10&gt;=$I$1,1,IF($Y$10*$AD$10&gt;=$H$1,0.5,0))*(1+IF($N$10=$D$1,IF($Y$10*$AD$10&gt;=$K$1,0,IF($Y$10*$AD$10&gt;=$J$1,0,0)),0))*$B13*$D13*$E13^(H$2-1),1),0)</f>
        <v>10</v>
      </c>
      <c r="I13" s="47">
        <f>IF(CEILING($B13*$D13/3,1)&gt;=I$2,CEILING($F$1*IF($Y$10*$AD$10&gt;=$I$1,1,IF($Y$10*$AD$10&gt;=$H$1,0.5,0))*(1+IF($N$10=$D$1,IF($Y$10*$AD$10&gt;=$K$1,0,IF($Y$10*$AD$10&gt;=$J$1,0,0)),0))*$B13*$D13*$E13^(I$2-1),1),0)</f>
        <v>7</v>
      </c>
      <c r="J13" s="47">
        <f>IF(CEILING($B13*$D13/3,1)&gt;=J$2,CEILING($F$1*IF($Y$10*$AD$10&gt;=$I$1,1,IF($Y$10*$AD$10&gt;=$H$1,0.5,0))*(1+IF($N$10=$D$1,IF($Y$10*$AD$10&gt;=$K$1,0,IF($Y$10*$AD$10&gt;=$J$1,0,0)),0))*$B13*$D13*$E13^(J$2-1),1),0)</f>
        <v>5</v>
      </c>
      <c r="K13" s="47">
        <f>IF(CEILING($B13*$D13/3,1)&gt;=K$2,CEILING($F$1*IF($Y$10*$AD$10&gt;=$I$1,1,IF($Y$10*$AD$10&gt;=$H$1,0.5,0))*(1+IF($N$10=$D$1,IF($Y$10*$AD$10&gt;=$K$1,0,IF($Y$10*$AD$10&gt;=$J$1,0,0)),0))*$B13*$D13*$E13^(K$2-1),1),0)</f>
        <v>0</v>
      </c>
      <c r="L13" s="47">
        <f>IF(CEILING($B13*$D13/3,1)&gt;=L$2,CEILING($F$1*IF($Y$10*$AD$10&gt;=$I$1,1,IF($Y$10*$AD$10&gt;=$H$1,0.5,0))*(1+IF($N$10=$D$1,IF($Y$10*$AD$10&gt;=$K$1,0,IF($Y$10*$AD$10&gt;=$J$1,0,0)),0))*$B13*$D13*$E13^(L$2-1),1),0)</f>
        <v>0</v>
      </c>
      <c r="M13" s="47">
        <f>IF(CEILING($B13*$D13/3,1)&gt;=M$2,CEILING($F$1*IF($Y$10*$AD$10&gt;=$I$1,1,IF($Y$10*$AD$10&gt;=$H$1,0.5,0))*(1+IF($N$10=$D$1,IF($Y$10*$AD$10&gt;=$K$1,0,IF($Y$10*$AD$10&gt;=$J$1,0,0)),0))*$B13*$D13*$E13^(M$2-1),1),0)</f>
        <v>0</v>
      </c>
      <c r="N13" s="47">
        <f>IF(CEILING($B13*$D13/3,1)&gt;=N$2,CEILING($F$1*IF($Y$10*$AD$10&gt;=$I$1,1,IF($Y$10*$AD$10&gt;=$H$1,0.5,0))*(1+IF($N$10=$D$1,IF($Y$10*$AD$10&gt;=$K$1,0,IF($Y$10*$AD$10&gt;=$J$1,0,0)),0))*$B13*$D13*$E13^(N$2-1),1),0)</f>
        <v>0</v>
      </c>
      <c r="O13" s="47">
        <f>IF(CEILING($B13*$D13/3,1)&gt;=O$2,CEILING($F$1*IF($Y$10*$AD$10&gt;=$I$1,1,IF($Y$10*$AD$10&gt;=$H$1,0.5,0))*(1+IF($N$10=$D$1,IF($Y$10*$AD$10&gt;=$K$1,0,IF($Y$10*$AD$10&gt;=$J$1,0,0)),0))*$B13*$D13*$E13^(O$2-1),1),0)</f>
        <v>0</v>
      </c>
      <c r="P13" s="47">
        <f>IF(CEILING($B13*$D13/3,1)&gt;=P$2,CEILING($F$1*IF($Y$10*$AD$10&gt;=$I$1,1,IF($Y$10*$AD$10&gt;=$H$1,0.5,0))*(1+IF($N$10=$D$1,IF($Y$10*$AD$10&gt;=$K$1,0,IF($Y$10*$AD$10&gt;=$J$1,0,0)),0))*$B13*$D13*$E13^(P$2-1),1),0)</f>
        <v>0</v>
      </c>
      <c r="Q13" s="47">
        <f>IF(CEILING($B13*$D13/3,1)&gt;=Q$2,CEILING($F$1*IF($Y$10*$AD$10&gt;=$I$1,1,IF($Y$10*$AD$10&gt;=$H$1,0.5,0))*(1+IF($N$10=$D$1,IF($Y$10*$AD$10&gt;=$K$1,0,IF($Y$10*$AD$10&gt;=$J$1,0,0)),0))*$B13*$D13*$E13^(Q$2-1),1),0)</f>
        <v>0</v>
      </c>
      <c r="R13" s="47">
        <f>IF(CEILING($B13*$D13/3,1)&gt;=R$2,CEILING($F$1*IF($Y$10*$AD$10&gt;=$I$1,1,IF($Y$10*$AD$10&gt;=$H$1,0.5,0))*(1+IF($N$10=$D$1,IF($Y$10*$AD$10&gt;=$K$1,0,IF($Y$10*$AD$10&gt;=$J$1,0,0)),0))*$B13*$D13*$E13^(R$2-1),1),0)</f>
        <v>0</v>
      </c>
      <c r="S13" s="47">
        <f>IF(CEILING($B13*$D13/3,1)&gt;=S$2,CEILING($F$1*IF($Y$10*$AD$10&gt;=$I$1,1,IF($Y$10*$AD$10&gt;=$H$1,0.5,0))*(1+IF($N$10=$D$1,IF($Y$10*$AD$10&gt;=$K$1,0,IF($Y$10*$AD$10&gt;=$J$1,0,0)),0))*$B13*$D13*$E13^(S$2-1),1),0)</f>
        <v>0</v>
      </c>
      <c r="T13" s="47">
        <f>IF(CEILING($B13*$D13/3,1)&gt;=T$2,CEILING($F$1*IF($Y$10*$AD$10&gt;=$I$1,1,IF($Y$10*$AD$10&gt;=$H$1,0.5,0))*(1+IF($N$10=$D$1,IF($Y$10*$AD$10&gt;=$K$1,0,IF($Y$10*$AD$10&gt;=$J$1,0,0)),0))*$B13*$D13*$E13^(T$2-1),1),0)</f>
        <v>0</v>
      </c>
      <c r="U13" s="47">
        <f>IF(CEILING($B13*$D13/3,1)&gt;=U$2,CEILING($F$1*IF($Y$10*$AD$10&gt;=$I$1,1,IF($Y$10*$AD$10&gt;=$H$1,0.5,0))*(1+IF($N$10=$D$1,IF($Y$10*$AD$10&gt;=$K$1,0,IF($Y$10*$AD$10&gt;=$J$1,0,0)),0))*$B13*$D13*$E13^(U$2-1),1),0)</f>
        <v>0</v>
      </c>
      <c r="V13" s="47">
        <f>IF(CEILING($B13*$D13/3,1)&gt;=V$2,CEILING($F$1*IF($Y$10*$AD$10&gt;=$I$1,1,IF($Y$10*$AD$10&gt;=$H$1,0.5,0))*(1+IF($N$10=$D$1,IF($Y$10*$AD$10&gt;=$K$1,0,IF($Y$10*$AD$10&gt;=$J$1,0,0)),0))*$B13*$D13*$E13^(V$2-1),1),0)</f>
        <v>0</v>
      </c>
      <c r="W13" s="47">
        <f>IF(CEILING($B13*$D13/3,1)&gt;=W$2,CEILING($F$1*IF($Y$10*$AD$10&gt;=$I$1,1,IF($Y$10*$AD$10&gt;=$H$1,0.5,0))*(1+IF($N$10=$D$1,IF($Y$10*$AD$10&gt;=$K$1,0,IF($Y$10*$AD$10&gt;=$J$1,0,0)),0))*$B13*$D13*$E13^(W$2-1),1),0)</f>
        <v>0</v>
      </c>
      <c r="X13" s="47">
        <f>IF(CEILING($B13*$D13/3,1)&gt;=X$2,CEILING($F$1*IF($Y$10*$AD$10&gt;=$I$1,1,IF($Y$10*$AD$10&gt;=$H$1,0.5,0))*(1+IF($N$10=$D$1,IF($Y$10*$AD$10&gt;=$K$1,0,IF($Y$10*$AD$10&gt;=$J$1,0,0)),0))*$B13*$D13*$E13^(X$2-1),1),0)</f>
        <v>0</v>
      </c>
      <c r="Y13" s="47">
        <f>IF(CEILING($B13*$D13/3,1)&gt;=Y$2,CEILING($F$1*IF($Y$10*$AD$10&gt;=$I$1,1,IF($Y$10*$AD$10&gt;=$H$1,0.5,0))*(1+IF($N$10=$D$1,IF($Y$10*$AD$10&gt;=$K$1,0,IF($Y$10*$AD$10&gt;=$J$1,0,0)),0))*$B13*$D13*$E13^(Y$2-1),1),0)</f>
        <v>0</v>
      </c>
      <c r="Z13" s="47">
        <f>IF(CEILING($B13*$D13/3,1)&gt;=Z$2,CEILING($F$1*IF($Y$10*$AD$10&gt;=$I$1,1,IF($Y$10*$AD$10&gt;=$H$1,0.5,0))*(1+IF($N$10=$D$1,IF($Y$10*$AD$10&gt;=$K$1,0,IF($Y$10*$AD$10&gt;=$J$1,0,0)),0))*$B13*$D13*$E13^(Z$2-1),1),0)</f>
        <v>0</v>
      </c>
      <c r="AA13" s="47">
        <f>IF(CEILING($B13*$D13/3,1)&gt;=AA$2,CEILING($F$1*IF($Y$10*$AD$10&gt;=$I$1,1,IF($Y$10*$AD$10&gt;=$H$1,0.5,0))*(1+IF($N$10=$D$1,IF($Y$10*$AD$10&gt;=$K$1,0,IF($Y$10*$AD$10&gt;=$J$1,0,0)),0))*$B13*$D13*$E13^(AA$2-1),1),0)</f>
        <v>0</v>
      </c>
      <c r="AB13" s="47">
        <f>IF(CEILING($B13*$D13/3,1)&gt;=AB$2,CEILING($F$1*IF($Y$10*$AD$10&gt;=$I$1,1,IF($Y$10*$AD$10&gt;=$H$1,0.5,0))*(1+IF($N$10=$D$1,IF($Y$10*$AD$10&gt;=$K$1,0,IF($Y$10*$AD$10&gt;=$J$1,0,0)),0))*$B13*$D13*$E13^(AB$2-1),1),0)</f>
        <v>0</v>
      </c>
      <c r="AC13" s="47">
        <f>IF(CEILING($B13*$D13/3,1)&gt;=AC$2,CEILING($F$1*IF($Y$10*$AD$10&gt;=$I$1,1,IF($Y$10*$AD$10&gt;=$H$1,0.5,0))*(1+IF($N$10=$D$1,IF($Y$10*$AD$10&gt;=$K$1,0,IF($Y$10*$AD$10&gt;=$J$1,0,0)),0))*$B13*$D13*$E13^(AC$2-1),1),0)</f>
        <v>0</v>
      </c>
      <c r="AD13" s="47">
        <f>IF(CEILING($B13*$D13/3,1)&gt;=AD$2,CEILING($F$1*IF($Y$10*$AD$10&gt;=$I$1,1,IF($Y$10*$AD$10&gt;=$H$1,0.5,0))*(1+IF($N$10=$D$1,IF($Y$10*$AD$10&gt;=$K$1,0,IF($Y$10*$AD$10&gt;=$J$1,0,0)),0))*$B13*$D13*$E13^(AD$2-1),1),0)</f>
        <v>0</v>
      </c>
      <c r="AE13" s="47">
        <f>IF(CEILING($B13*$D13/3,1)&gt;=AE$2,CEILING($F$1*IF($Y$10*$AD$10&gt;=$I$1,1,IF($Y$10*$AD$10&gt;=$H$1,0.5,0))*(1+IF($N$10=$D$1,IF($Y$10*$AD$10&gt;=$K$1,0,IF($Y$10*$AD$10&gt;=$J$1,0,0)),0))*$B13*$D13*$E13^(AE$2-1),1),0)</f>
        <v>0</v>
      </c>
      <c r="AF13" s="47">
        <f>IF(CEILING($B13*$D13/3,1)&gt;=AF$2,CEILING($F$1*IF($Y$10*$AD$10&gt;=$I$1,1,IF($Y$10*$AD$10&gt;=$H$1,0.5,0))*(1+IF($N$10=$D$1,IF($Y$10*$AD$10&gt;=$K$1,0,IF($Y$10*$AD$10&gt;=$J$1,0,0)),0))*$B13*$D13*$E13^(AF$2-1),1),0)</f>
        <v>0</v>
      </c>
      <c r="AG13" s="47">
        <f>IF(CEILING($B13*$D13/3,1)&gt;=AG$2,CEILING($F$1*IF($Y$10*$AD$10&gt;=$I$1,1,IF($Y$10*$AD$10&gt;=$H$1,0.5,0))*(1+IF($N$10=$D$1,IF($Y$10*$AD$10&gt;=$K$1,0,IF($Y$10*$AD$10&gt;=$J$1,0,0)),0))*$B13*$D13*$E13^(AG$2-1),1),0)</f>
        <v>0</v>
      </c>
      <c r="AH13" s="47">
        <f>IF(CEILING($B13*$D13/3,1)&gt;=AH$2,CEILING($F$1*IF($Y$10*$AD$10&gt;=$I$1,1,IF($Y$10*$AD$10&gt;=$H$1,0.5,0))*(1+IF($N$10=$D$1,IF($Y$10*$AD$10&gt;=$K$1,0,IF($Y$10*$AD$10&gt;=$J$1,0,0)),0))*$B13*$D13*$E13^(AH$2-1),1),0)</f>
        <v>0</v>
      </c>
      <c r="AI13" s="48">
        <f>IF(CEILING($B13*$D13/3,1)&gt;=AI$2,CEILING($F$1*IF($Y$10*$AD$10&gt;=$I$1,1,IF($Y$10*$AD$10&gt;=$H$1,0.5,0))*(1+IF($N$10=$D$1,IF($Y$10*$AD$10&gt;=$K$1,0,IF($Y$10*$AD$10&gt;=$J$1,0,0)),0))*$B13*$D13*$E13^(AI$2-1),1),0)</f>
        <v>0</v>
      </c>
    </row>
    <row r="14" spans="1:35" ht="15" customHeight="1" x14ac:dyDescent="0.25">
      <c r="A14" s="58"/>
      <c r="B14" s="60"/>
      <c r="C14" s="6"/>
      <c r="D14" s="68"/>
      <c r="E14" s="64"/>
      <c r="F14" s="49"/>
      <c r="G14" s="49"/>
      <c r="H14" s="49"/>
      <c r="I14" s="49"/>
      <c r="J14" s="50"/>
      <c r="K14" s="50"/>
      <c r="L14" s="50"/>
      <c r="M14" s="50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1"/>
    </row>
    <row r="15" spans="1:35" x14ac:dyDescent="0.25">
      <c r="A15" s="58"/>
      <c r="B15" s="60"/>
      <c r="C15" s="6"/>
      <c r="D15" s="68"/>
      <c r="E15" s="64"/>
      <c r="F15" s="117" t="s">
        <v>11</v>
      </c>
      <c r="G15" s="117"/>
      <c r="H15" s="117"/>
      <c r="I15" s="36">
        <v>4</v>
      </c>
      <c r="J15" s="113" t="s">
        <v>3</v>
      </c>
      <c r="K15" s="113"/>
      <c r="L15" s="113"/>
      <c r="M15" s="113"/>
      <c r="N15" s="118" t="s">
        <v>27</v>
      </c>
      <c r="O15" s="118"/>
      <c r="P15" s="115" t="s">
        <v>1</v>
      </c>
      <c r="Q15" s="115"/>
      <c r="R15" s="115"/>
      <c r="S15" s="115"/>
      <c r="T15" s="15">
        <v>16</v>
      </c>
      <c r="U15" s="116" t="s">
        <v>2</v>
      </c>
      <c r="V15" s="116"/>
      <c r="W15" s="116"/>
      <c r="X15" s="116"/>
      <c r="Y15" s="15">
        <v>15</v>
      </c>
      <c r="Z15" s="116" t="s">
        <v>4</v>
      </c>
      <c r="AA15" s="116"/>
      <c r="AB15" s="116"/>
      <c r="AC15" s="116"/>
      <c r="AD15" s="15">
        <v>2</v>
      </c>
      <c r="AE15" s="26"/>
      <c r="AF15" s="26"/>
      <c r="AG15" s="26"/>
      <c r="AH15" s="26"/>
      <c r="AI15" s="27"/>
    </row>
    <row r="16" spans="1:35" x14ac:dyDescent="0.25">
      <c r="A16" s="58">
        <v>1</v>
      </c>
      <c r="B16" s="60">
        <v>1.1499999999999999</v>
      </c>
      <c r="C16" s="16">
        <v>0</v>
      </c>
      <c r="D16" s="67">
        <f>CEILING(1+MIN(T$15-C16-1,$L$1)+(T$15-C16-1-MIN(T$15-C16-1,$L$1))/$M$1,1)</f>
        <v>16</v>
      </c>
      <c r="E16" s="63">
        <f>MAX(($G$1/($F$1*D16))^(1/(ROUNDUP(D16/3,)-1)),2/3)</f>
        <v>0.66666666666666663</v>
      </c>
      <c r="F16" s="47">
        <f>IF(CEILING($B16*$D16/3,1)&gt;=F$2,CEILING($F$1*IF($Y$15*$AD$15&gt;=$I$1,1,IF($Y$15*$AD$15&gt;=$H$1,0.5,0))*(1+IF($N$15=$D$1,IF($Y$15*$AD$15&gt;=$K$1,0,IF($Y$15*$AD$15&gt;=$J$1,0,0)),0))*$B16*$D16*$E16^(F$2-1),1),0)</f>
        <v>28</v>
      </c>
      <c r="G16" s="47">
        <f>IF(CEILING($B16*$D16/3,1)&gt;=G$2,CEILING($F$1*IF($Y$15*$AD$15&gt;=$I$1,1,IF($Y$15*$AD$15&gt;=$H$1,0.5,0))*(1+IF($N$15=$D$1,IF($Y$15*$AD$15&gt;=$K$1,0,IF($Y$15*$AD$15&gt;=$J$1,0,0)),0))*$B16*$D16*$E16^(G$2-1),1),0)</f>
        <v>19</v>
      </c>
      <c r="H16" s="47">
        <f>IF(CEILING($B16*$D16/3,1)&gt;=H$2,CEILING($F$1*IF($Y$15*$AD$15&gt;=$I$1,1,IF($Y$15*$AD$15&gt;=$H$1,0.5,0))*(1+IF($N$15=$D$1,IF($Y$15*$AD$15&gt;=$K$1,0,IF($Y$15*$AD$15&gt;=$J$1,0,0)),0))*$B16*$D16*$E16^(H$2-1),1),0)</f>
        <v>13</v>
      </c>
      <c r="I16" s="47">
        <f>IF(CEILING($B16*$D16/3,1)&gt;=I$2,CEILING($F$1*IF($Y$15*$AD$15&gt;=$I$1,1,IF($Y$15*$AD$15&gt;=$H$1,0.5,0))*(1+IF($N$15=$D$1,IF($Y$15*$AD$15&gt;=$K$1,0,IF($Y$15*$AD$15&gt;=$J$1,0,0)),0))*$B16*$D16*$E16^(I$2-1),1),0)</f>
        <v>9</v>
      </c>
      <c r="J16" s="47">
        <f>IF(CEILING($B16*$D16/3,1)&gt;=J$2,CEILING($F$1*IF($Y$15*$AD$15&gt;=$I$1,1,IF($Y$15*$AD$15&gt;=$H$1,0.5,0))*(1+IF($N$15=$D$1,IF($Y$15*$AD$15&gt;=$K$1,0,IF($Y$15*$AD$15&gt;=$J$1,0,0)),0))*$B16*$D16*$E16^(J$2-1),1),0)</f>
        <v>6</v>
      </c>
      <c r="K16" s="47">
        <f>IF(CEILING($B16*$D16/3,1)&gt;=K$2,CEILING($F$1*IF($Y$15*$AD$15&gt;=$I$1,1,IF($Y$15*$AD$15&gt;=$H$1,0.5,0))*(1+IF($N$15=$D$1,IF($Y$15*$AD$15&gt;=$K$1,0,IF($Y$15*$AD$15&gt;=$J$1,0,0)),0))*$B16*$D16*$E16^(K$2-1),1),0)</f>
        <v>4</v>
      </c>
      <c r="L16" s="47">
        <f>IF(CEILING($B16*$D16/3,1)&gt;=L$2,CEILING($F$1*IF($Y$15*$AD$15&gt;=$I$1,1,IF($Y$15*$AD$15&gt;=$H$1,0.5,0))*(1+IF($N$15=$D$1,IF($Y$15*$AD$15&gt;=$K$1,0,IF($Y$15*$AD$15&gt;=$J$1,0,0)),0))*$B16*$D16*$E16^(L$2-1),1),0)</f>
        <v>3</v>
      </c>
      <c r="M16" s="47">
        <f>IF(CEILING($B16*$D16/3,1)&gt;=M$2,CEILING($F$1*IF($Y$15*$AD$15&gt;=$I$1,1,IF($Y$15*$AD$15&gt;=$H$1,0.5,0))*(1+IF($N$15=$D$1,IF($Y$15*$AD$15&gt;=$K$1,0,IF($Y$15*$AD$15&gt;=$J$1,0,0)),0))*$B16*$D16*$E16^(M$2-1),1),0)</f>
        <v>0</v>
      </c>
      <c r="N16" s="47">
        <f>IF(CEILING($B16*$D16/3,1)&gt;=N$2,CEILING($F$1*IF($Y$15*$AD$15&gt;=$I$1,1,IF($Y$15*$AD$15&gt;=$H$1,0.5,0))*(1+IF($N$15=$D$1,IF($Y$15*$AD$15&gt;=$K$1,0,IF($Y$15*$AD$15&gt;=$J$1,0,0)),0))*$B16*$D16*$E16^(N$2-1),1),0)</f>
        <v>0</v>
      </c>
      <c r="O16" s="47">
        <f>IF(CEILING($B16*$D16/3,1)&gt;=O$2,CEILING($F$1*IF($Y$15*$AD$15&gt;=$I$1,1,IF($Y$15*$AD$15&gt;=$H$1,0.5,0))*(1+IF($N$15=$D$1,IF($Y$15*$AD$15&gt;=$K$1,0,IF($Y$15*$AD$15&gt;=$J$1,0,0)),0))*$B16*$D16*$E16^(O$2-1),1),0)</f>
        <v>0</v>
      </c>
      <c r="P16" s="47">
        <f>IF(CEILING($B16*$D16/3,1)&gt;=P$2,CEILING($F$1*IF($Y$15*$AD$15&gt;=$I$1,1,IF($Y$15*$AD$15&gt;=$H$1,0.5,0))*(1+IF($N$15=$D$1,IF($Y$15*$AD$15&gt;=$K$1,0,IF($Y$15*$AD$15&gt;=$J$1,0,0)),0))*$B16*$D16*$E16^(P$2-1),1),0)</f>
        <v>0</v>
      </c>
      <c r="Q16" s="47">
        <f>IF(CEILING($B16*$D16/3,1)&gt;=Q$2,CEILING($F$1*IF($Y$15*$AD$15&gt;=$I$1,1,IF($Y$15*$AD$15&gt;=$H$1,0.5,0))*(1+IF($N$15=$D$1,IF($Y$15*$AD$15&gt;=$K$1,0,IF($Y$15*$AD$15&gt;=$J$1,0,0)),0))*$B16*$D16*$E16^(Q$2-1),1),0)</f>
        <v>0</v>
      </c>
      <c r="R16" s="47">
        <f>IF(CEILING($B16*$D16/3,1)&gt;=R$2,CEILING($F$1*IF($Y$15*$AD$15&gt;=$I$1,1,IF($Y$15*$AD$15&gt;=$H$1,0.5,0))*(1+IF($N$15=$D$1,IF($Y$15*$AD$15&gt;=$K$1,0,IF($Y$15*$AD$15&gt;=$J$1,0,0)),0))*$B16*$D16*$E16^(R$2-1),1),0)</f>
        <v>0</v>
      </c>
      <c r="S16" s="47">
        <f>IF(CEILING($B16*$D16/3,1)&gt;=S$2,CEILING($F$1*IF($Y$15*$AD$15&gt;=$I$1,1,IF($Y$15*$AD$15&gt;=$H$1,0.5,0))*(1+IF($N$15=$D$1,IF($Y$15*$AD$15&gt;=$K$1,0,IF($Y$15*$AD$15&gt;=$J$1,0,0)),0))*$B16*$D16*$E16^(S$2-1),1),0)</f>
        <v>0</v>
      </c>
      <c r="T16" s="47">
        <f>IF(CEILING($B16*$D16/3,1)&gt;=T$2,CEILING($F$1*IF($Y$15*$AD$15&gt;=$I$1,1,IF($Y$15*$AD$15&gt;=$H$1,0.5,0))*(1+IF($N$15=$D$1,IF($Y$15*$AD$15&gt;=$K$1,0,IF($Y$15*$AD$15&gt;=$J$1,0,0)),0))*$B16*$D16*$E16^(T$2-1),1),0)</f>
        <v>0</v>
      </c>
      <c r="U16" s="47">
        <f>IF(CEILING($B16*$D16/3,1)&gt;=U$2,CEILING($F$1*IF($Y$15*$AD$15&gt;=$I$1,1,IF($Y$15*$AD$15&gt;=$H$1,0.5,0))*(1+IF($N$15=$D$1,IF($Y$15*$AD$15&gt;=$K$1,0,IF($Y$15*$AD$15&gt;=$J$1,0,0)),0))*$B16*$D16*$E16^(U$2-1),1),0)</f>
        <v>0</v>
      </c>
      <c r="V16" s="47">
        <f>IF(CEILING($B16*$D16/3,1)&gt;=V$2,CEILING($F$1*IF($Y$15*$AD$15&gt;=$I$1,1,IF($Y$15*$AD$15&gt;=$H$1,0.5,0))*(1+IF($N$15=$D$1,IF($Y$15*$AD$15&gt;=$K$1,0,IF($Y$15*$AD$15&gt;=$J$1,0,0)),0))*$B16*$D16*$E16^(V$2-1),1),0)</f>
        <v>0</v>
      </c>
      <c r="W16" s="47">
        <f>IF(CEILING($B16*$D16/3,1)&gt;=W$2,CEILING($F$1*IF($Y$15*$AD$15&gt;=$I$1,1,IF($Y$15*$AD$15&gt;=$H$1,0.5,0))*(1+IF($N$15=$D$1,IF($Y$15*$AD$15&gt;=$K$1,0,IF($Y$15*$AD$15&gt;=$J$1,0,0)),0))*$B16*$D16*$E16^(W$2-1),1),0)</f>
        <v>0</v>
      </c>
      <c r="X16" s="47">
        <f>IF(CEILING($B16*$D16/3,1)&gt;=X$2,CEILING($F$1*IF($Y$15*$AD$15&gt;=$I$1,1,IF($Y$15*$AD$15&gt;=$H$1,0.5,0))*(1+IF($N$15=$D$1,IF($Y$15*$AD$15&gt;=$K$1,0,IF($Y$15*$AD$15&gt;=$J$1,0,0)),0))*$B16*$D16*$E16^(X$2-1),1),0)</f>
        <v>0</v>
      </c>
      <c r="Y16" s="47">
        <f>IF(CEILING($B16*$D16/3,1)&gt;=Y$2,CEILING($F$1*IF($Y$15*$AD$15&gt;=$I$1,1,IF($Y$15*$AD$15&gt;=$H$1,0.5,0))*(1+IF($N$15=$D$1,IF($Y$15*$AD$15&gt;=$K$1,0,IF($Y$15*$AD$15&gt;=$J$1,0,0)),0))*$B16*$D16*$E16^(Y$2-1),1),0)</f>
        <v>0</v>
      </c>
      <c r="Z16" s="47">
        <f>IF(CEILING($B16*$D16/3,1)&gt;=Z$2,CEILING($F$1*IF($Y$15*$AD$15&gt;=$I$1,1,IF($Y$15*$AD$15&gt;=$H$1,0.5,0))*(1+IF($N$15=$D$1,IF($Y$15*$AD$15&gt;=$K$1,0,IF($Y$15*$AD$15&gt;=$J$1,0,0)),0))*$B16*$D16*$E16^(Z$2-1),1),0)</f>
        <v>0</v>
      </c>
      <c r="AA16" s="47">
        <f>IF(CEILING($B16*$D16/3,1)&gt;=AA$2,CEILING($F$1*IF($Y$15*$AD$15&gt;=$I$1,1,IF($Y$15*$AD$15&gt;=$H$1,0.5,0))*(1+IF($N$15=$D$1,IF($Y$15*$AD$15&gt;=$K$1,0,IF($Y$15*$AD$15&gt;=$J$1,0,0)),0))*$B16*$D16*$E16^(AA$2-1),1),0)</f>
        <v>0</v>
      </c>
      <c r="AB16" s="47">
        <f>IF(CEILING($B16*$D16/3,1)&gt;=AB$2,CEILING($F$1*IF($Y$15*$AD$15&gt;=$I$1,1,IF($Y$15*$AD$15&gt;=$H$1,0.5,0))*(1+IF($N$15=$D$1,IF($Y$15*$AD$15&gt;=$K$1,0,IF($Y$15*$AD$15&gt;=$J$1,0,0)),0))*$B16*$D16*$E16^(AB$2-1),1),0)</f>
        <v>0</v>
      </c>
      <c r="AC16" s="47">
        <f>IF(CEILING($B16*$D16/3,1)&gt;=AC$2,CEILING($F$1*IF($Y$15*$AD$15&gt;=$I$1,1,IF($Y$15*$AD$15&gt;=$H$1,0.5,0))*(1+IF($N$15=$D$1,IF($Y$15*$AD$15&gt;=$K$1,0,IF($Y$15*$AD$15&gt;=$J$1,0,0)),0))*$B16*$D16*$E16^(AC$2-1),1),0)</f>
        <v>0</v>
      </c>
      <c r="AD16" s="47">
        <f>IF(CEILING($B16*$D16/3,1)&gt;=AD$2,CEILING($F$1*IF($Y$15*$AD$15&gt;=$I$1,1,IF($Y$15*$AD$15&gt;=$H$1,0.5,0))*(1+IF($N$15=$D$1,IF($Y$15*$AD$15&gt;=$K$1,0,IF($Y$15*$AD$15&gt;=$J$1,0,0)),0))*$B16*$D16*$E16^(AD$2-1),1),0)</f>
        <v>0</v>
      </c>
      <c r="AE16" s="47">
        <f>IF(CEILING($B16*$D16/3,1)&gt;=AE$2,CEILING($F$1*IF($Y$15*$AD$15&gt;=$I$1,1,IF($Y$15*$AD$15&gt;=$H$1,0.5,0))*(1+IF($N$15=$D$1,IF($Y$15*$AD$15&gt;=$K$1,0,IF($Y$15*$AD$15&gt;=$J$1,0,0)),0))*$B16*$D16*$E16^(AE$2-1),1),0)</f>
        <v>0</v>
      </c>
      <c r="AF16" s="47">
        <f>IF(CEILING($B16*$D16/3,1)&gt;=AF$2,CEILING($F$1*IF($Y$15*$AD$15&gt;=$I$1,1,IF($Y$15*$AD$15&gt;=$H$1,0.5,0))*(1+IF($N$15=$D$1,IF($Y$15*$AD$15&gt;=$K$1,0,IF($Y$15*$AD$15&gt;=$J$1,0,0)),0))*$B16*$D16*$E16^(AF$2-1),1),0)</f>
        <v>0</v>
      </c>
      <c r="AG16" s="47">
        <f>IF(CEILING($B16*$D16/3,1)&gt;=AG$2,CEILING($F$1*IF($Y$15*$AD$15&gt;=$I$1,1,IF($Y$15*$AD$15&gt;=$H$1,0.5,0))*(1+IF($N$15=$D$1,IF($Y$15*$AD$15&gt;=$K$1,0,IF($Y$15*$AD$15&gt;=$J$1,0,0)),0))*$B16*$D16*$E16^(AG$2-1),1),0)</f>
        <v>0</v>
      </c>
      <c r="AH16" s="47">
        <f>IF(CEILING($B16*$D16/3,1)&gt;=AH$2,CEILING($F$1*IF($Y$15*$AD$15&gt;=$I$1,1,IF($Y$15*$AD$15&gt;=$H$1,0.5,0))*(1+IF($N$15=$D$1,IF($Y$15*$AD$15&gt;=$K$1,0,IF($Y$15*$AD$15&gt;=$J$1,0,0)),0))*$B16*$D16*$E16^(AH$2-1),1),0)</f>
        <v>0</v>
      </c>
      <c r="AI16" s="48">
        <f>IF(CEILING($B16*$D16/3,1)&gt;=AI$2,CEILING($F$1*IF($Y$15*$AD$15&gt;=$I$1,1,IF($Y$15*$AD$15&gt;=$H$1,0.5,0))*(1+IF($N$15=$D$1,IF($Y$15*$AD$15&gt;=$K$1,0,IF($Y$15*$AD$15&gt;=$J$1,0,0)),0))*$B16*$D16*$E16^(AI$2-1),1),0)</f>
        <v>0</v>
      </c>
    </row>
    <row r="17" spans="1:35" x14ac:dyDescent="0.25">
      <c r="A17" s="58">
        <v>2</v>
      </c>
      <c r="B17" s="60">
        <v>1.05</v>
      </c>
      <c r="C17" s="16">
        <v>0</v>
      </c>
      <c r="D17" s="67">
        <f>CEILING(1+MIN(T$15-C17-1,$L$1)+(T$15-C17-1-MIN(T$15-C17-1,$L$1))/$M$1,1)</f>
        <v>16</v>
      </c>
      <c r="E17" s="63">
        <f>MAX(($G$1/($F$1*D17))^(1/(ROUNDUP(D17/3,)-1)),2/3)</f>
        <v>0.66666666666666663</v>
      </c>
      <c r="F17" s="47">
        <f>IF(CEILING($B17*$D17/3,1)&gt;=F$2,CEILING($F$1*IF($Y$15*$AD$15&gt;=$I$1,1,IF($Y$15*$AD$15&gt;=$H$1,0.5,0))*(1+IF($N$15=$D$1,IF($Y$15*$AD$15&gt;=$K$1,0,IF($Y$15*$AD$15&gt;=$J$1,0,0)),0))*$B17*$D17*$E17^(F$2-1),1),0)</f>
        <v>26</v>
      </c>
      <c r="G17" s="47">
        <f>IF(CEILING($B17*$D17/3,1)&gt;=G$2,CEILING($F$1*IF($Y$15*$AD$15&gt;=$I$1,1,IF($Y$15*$AD$15&gt;=$H$1,0.5,0))*(1+IF($N$15=$D$1,IF($Y$15*$AD$15&gt;=$K$1,0,IF($Y$15*$AD$15&gt;=$J$1,0,0)),0))*$B17*$D17*$E17^(G$2-1),1),0)</f>
        <v>17</v>
      </c>
      <c r="H17" s="47">
        <f>IF(CEILING($B17*$D17/3,1)&gt;=H$2,CEILING($F$1*IF($Y$15*$AD$15&gt;=$I$1,1,IF($Y$15*$AD$15&gt;=$H$1,0.5,0))*(1+IF($N$15=$D$1,IF($Y$15*$AD$15&gt;=$K$1,0,IF($Y$15*$AD$15&gt;=$J$1,0,0)),0))*$B17*$D17*$E17^(H$2-1),1),0)</f>
        <v>12</v>
      </c>
      <c r="I17" s="47">
        <f>IF(CEILING($B17*$D17/3,1)&gt;=I$2,CEILING($F$1*IF($Y$15*$AD$15&gt;=$I$1,1,IF($Y$15*$AD$15&gt;=$H$1,0.5,0))*(1+IF($N$15=$D$1,IF($Y$15*$AD$15&gt;=$K$1,0,IF($Y$15*$AD$15&gt;=$J$1,0,0)),0))*$B17*$D17*$E17^(I$2-1),1),0)</f>
        <v>8</v>
      </c>
      <c r="J17" s="47">
        <f>IF(CEILING($B17*$D17/3,1)&gt;=J$2,CEILING($F$1*IF($Y$15*$AD$15&gt;=$I$1,1,IF($Y$15*$AD$15&gt;=$H$1,0.5,0))*(1+IF($N$15=$D$1,IF($Y$15*$AD$15&gt;=$K$1,0,IF($Y$15*$AD$15&gt;=$J$1,0,0)),0))*$B17*$D17*$E17^(J$2-1),1),0)</f>
        <v>5</v>
      </c>
      <c r="K17" s="47">
        <f>IF(CEILING($B17*$D17/3,1)&gt;=K$2,CEILING($F$1*IF($Y$15*$AD$15&gt;=$I$1,1,IF($Y$15*$AD$15&gt;=$H$1,0.5,0))*(1+IF($N$15=$D$1,IF($Y$15*$AD$15&gt;=$K$1,0,IF($Y$15*$AD$15&gt;=$J$1,0,0)),0))*$B17*$D17*$E17^(K$2-1),1),0)</f>
        <v>4</v>
      </c>
      <c r="L17" s="47">
        <f>IF(CEILING($B17*$D17/3,1)&gt;=L$2,CEILING($F$1*IF($Y$15*$AD$15&gt;=$I$1,1,IF($Y$15*$AD$15&gt;=$H$1,0.5,0))*(1+IF($N$15=$D$1,IF($Y$15*$AD$15&gt;=$K$1,0,IF($Y$15*$AD$15&gt;=$J$1,0,0)),0))*$B17*$D17*$E17^(L$2-1),1),0)</f>
        <v>0</v>
      </c>
      <c r="M17" s="47">
        <f>IF(CEILING($B17*$D17/3,1)&gt;=M$2,CEILING($F$1*IF($Y$15*$AD$15&gt;=$I$1,1,IF($Y$15*$AD$15&gt;=$H$1,0.5,0))*(1+IF($N$15=$D$1,IF($Y$15*$AD$15&gt;=$K$1,0,IF($Y$15*$AD$15&gt;=$J$1,0,0)),0))*$B17*$D17*$E17^(M$2-1),1),0)</f>
        <v>0</v>
      </c>
      <c r="N17" s="47">
        <f>IF(CEILING($B17*$D17/3,1)&gt;=N$2,CEILING($F$1*IF($Y$15*$AD$15&gt;=$I$1,1,IF($Y$15*$AD$15&gt;=$H$1,0.5,0))*(1+IF($N$15=$D$1,IF($Y$15*$AD$15&gt;=$K$1,0,IF($Y$15*$AD$15&gt;=$J$1,0,0)),0))*$B17*$D17*$E17^(N$2-1),1),0)</f>
        <v>0</v>
      </c>
      <c r="O17" s="47">
        <f>IF(CEILING($B17*$D17/3,1)&gt;=O$2,CEILING($F$1*IF($Y$15*$AD$15&gt;=$I$1,1,IF($Y$15*$AD$15&gt;=$H$1,0.5,0))*(1+IF($N$15=$D$1,IF($Y$15*$AD$15&gt;=$K$1,0,IF($Y$15*$AD$15&gt;=$J$1,0,0)),0))*$B17*$D17*$E17^(O$2-1),1),0)</f>
        <v>0</v>
      </c>
      <c r="P17" s="47">
        <f>IF(CEILING($B17*$D17/3,1)&gt;=P$2,CEILING($F$1*IF($Y$15*$AD$15&gt;=$I$1,1,IF($Y$15*$AD$15&gt;=$H$1,0.5,0))*(1+IF($N$15=$D$1,IF($Y$15*$AD$15&gt;=$K$1,0,IF($Y$15*$AD$15&gt;=$J$1,0,0)),0))*$B17*$D17*$E17^(P$2-1),1),0)</f>
        <v>0</v>
      </c>
      <c r="Q17" s="47">
        <f>IF(CEILING($B17*$D17/3,1)&gt;=Q$2,CEILING($F$1*IF($Y$15*$AD$15&gt;=$I$1,1,IF($Y$15*$AD$15&gt;=$H$1,0.5,0))*(1+IF($N$15=$D$1,IF($Y$15*$AD$15&gt;=$K$1,0,IF($Y$15*$AD$15&gt;=$J$1,0,0)),0))*$B17*$D17*$E17^(Q$2-1),1),0)</f>
        <v>0</v>
      </c>
      <c r="R17" s="47">
        <f>IF(CEILING($B17*$D17/3,1)&gt;=R$2,CEILING($F$1*IF($Y$15*$AD$15&gt;=$I$1,1,IF($Y$15*$AD$15&gt;=$H$1,0.5,0))*(1+IF($N$15=$D$1,IF($Y$15*$AD$15&gt;=$K$1,0,IF($Y$15*$AD$15&gt;=$J$1,0,0)),0))*$B17*$D17*$E17^(R$2-1),1),0)</f>
        <v>0</v>
      </c>
      <c r="S17" s="47">
        <f>IF(CEILING($B17*$D17/3,1)&gt;=S$2,CEILING($F$1*IF($Y$15*$AD$15&gt;=$I$1,1,IF($Y$15*$AD$15&gt;=$H$1,0.5,0))*(1+IF($N$15=$D$1,IF($Y$15*$AD$15&gt;=$K$1,0,IF($Y$15*$AD$15&gt;=$J$1,0,0)),0))*$B17*$D17*$E17^(S$2-1),1),0)</f>
        <v>0</v>
      </c>
      <c r="T17" s="47">
        <f>IF(CEILING($B17*$D17/3,1)&gt;=T$2,CEILING($F$1*IF($Y$15*$AD$15&gt;=$I$1,1,IF($Y$15*$AD$15&gt;=$H$1,0.5,0))*(1+IF($N$15=$D$1,IF($Y$15*$AD$15&gt;=$K$1,0,IF($Y$15*$AD$15&gt;=$J$1,0,0)),0))*$B17*$D17*$E17^(T$2-1),1),0)</f>
        <v>0</v>
      </c>
      <c r="U17" s="47">
        <f>IF(CEILING($B17*$D17/3,1)&gt;=U$2,CEILING($F$1*IF($Y$15*$AD$15&gt;=$I$1,1,IF($Y$15*$AD$15&gt;=$H$1,0.5,0))*(1+IF($N$15=$D$1,IF($Y$15*$AD$15&gt;=$K$1,0,IF($Y$15*$AD$15&gt;=$J$1,0,0)),0))*$B17*$D17*$E17^(U$2-1),1),0)</f>
        <v>0</v>
      </c>
      <c r="V17" s="47">
        <f>IF(CEILING($B17*$D17/3,1)&gt;=V$2,CEILING($F$1*IF($Y$15*$AD$15&gt;=$I$1,1,IF($Y$15*$AD$15&gt;=$H$1,0.5,0))*(1+IF($N$15=$D$1,IF($Y$15*$AD$15&gt;=$K$1,0,IF($Y$15*$AD$15&gt;=$J$1,0,0)),0))*$B17*$D17*$E17^(V$2-1),1),0)</f>
        <v>0</v>
      </c>
      <c r="W17" s="47">
        <f>IF(CEILING($B17*$D17/3,1)&gt;=W$2,CEILING($F$1*IF($Y$15*$AD$15&gt;=$I$1,1,IF($Y$15*$AD$15&gt;=$H$1,0.5,0))*(1+IF($N$15=$D$1,IF($Y$15*$AD$15&gt;=$K$1,0,IF($Y$15*$AD$15&gt;=$J$1,0,0)),0))*$B17*$D17*$E17^(W$2-1),1),0)</f>
        <v>0</v>
      </c>
      <c r="X17" s="47">
        <f>IF(CEILING($B17*$D17/3,1)&gt;=X$2,CEILING($F$1*IF($Y$15*$AD$15&gt;=$I$1,1,IF($Y$15*$AD$15&gt;=$H$1,0.5,0))*(1+IF($N$15=$D$1,IF($Y$15*$AD$15&gt;=$K$1,0,IF($Y$15*$AD$15&gt;=$J$1,0,0)),0))*$B17*$D17*$E17^(X$2-1),1),0)</f>
        <v>0</v>
      </c>
      <c r="Y17" s="47">
        <f>IF(CEILING($B17*$D17/3,1)&gt;=Y$2,CEILING($F$1*IF($Y$15*$AD$15&gt;=$I$1,1,IF($Y$15*$AD$15&gt;=$H$1,0.5,0))*(1+IF($N$15=$D$1,IF($Y$15*$AD$15&gt;=$K$1,0,IF($Y$15*$AD$15&gt;=$J$1,0,0)),0))*$B17*$D17*$E17^(Y$2-1),1),0)</f>
        <v>0</v>
      </c>
      <c r="Z17" s="47">
        <f>IF(CEILING($B17*$D17/3,1)&gt;=Z$2,CEILING($F$1*IF($Y$15*$AD$15&gt;=$I$1,1,IF($Y$15*$AD$15&gt;=$H$1,0.5,0))*(1+IF($N$15=$D$1,IF($Y$15*$AD$15&gt;=$K$1,0,IF($Y$15*$AD$15&gt;=$J$1,0,0)),0))*$B17*$D17*$E17^(Z$2-1),1),0)</f>
        <v>0</v>
      </c>
      <c r="AA17" s="47">
        <f>IF(CEILING($B17*$D17/3,1)&gt;=AA$2,CEILING($F$1*IF($Y$15*$AD$15&gt;=$I$1,1,IF($Y$15*$AD$15&gt;=$H$1,0.5,0))*(1+IF($N$15=$D$1,IF($Y$15*$AD$15&gt;=$K$1,0,IF($Y$15*$AD$15&gt;=$J$1,0,0)),0))*$B17*$D17*$E17^(AA$2-1),1),0)</f>
        <v>0</v>
      </c>
      <c r="AB17" s="47">
        <f>IF(CEILING($B17*$D17/3,1)&gt;=AB$2,CEILING($F$1*IF($Y$15*$AD$15&gt;=$I$1,1,IF($Y$15*$AD$15&gt;=$H$1,0.5,0))*(1+IF($N$15=$D$1,IF($Y$15*$AD$15&gt;=$K$1,0,IF($Y$15*$AD$15&gt;=$J$1,0,0)),0))*$B17*$D17*$E17^(AB$2-1),1),0)</f>
        <v>0</v>
      </c>
      <c r="AC17" s="47">
        <f>IF(CEILING($B17*$D17/3,1)&gt;=AC$2,CEILING($F$1*IF($Y$15*$AD$15&gt;=$I$1,1,IF($Y$15*$AD$15&gt;=$H$1,0.5,0))*(1+IF($N$15=$D$1,IF($Y$15*$AD$15&gt;=$K$1,0,IF($Y$15*$AD$15&gt;=$J$1,0,0)),0))*$B17*$D17*$E17^(AC$2-1),1),0)</f>
        <v>0</v>
      </c>
      <c r="AD17" s="47">
        <f>IF(CEILING($B17*$D17/3,1)&gt;=AD$2,CEILING($F$1*IF($Y$15*$AD$15&gt;=$I$1,1,IF($Y$15*$AD$15&gt;=$H$1,0.5,0))*(1+IF($N$15=$D$1,IF($Y$15*$AD$15&gt;=$K$1,0,IF($Y$15*$AD$15&gt;=$J$1,0,0)),0))*$B17*$D17*$E17^(AD$2-1),1),0)</f>
        <v>0</v>
      </c>
      <c r="AE17" s="47">
        <f>IF(CEILING($B17*$D17/3,1)&gt;=AE$2,CEILING($F$1*IF($Y$15*$AD$15&gt;=$I$1,1,IF($Y$15*$AD$15&gt;=$H$1,0.5,0))*(1+IF($N$15=$D$1,IF($Y$15*$AD$15&gt;=$K$1,0,IF($Y$15*$AD$15&gt;=$J$1,0,0)),0))*$B17*$D17*$E17^(AE$2-1),1),0)</f>
        <v>0</v>
      </c>
      <c r="AF17" s="47">
        <f>IF(CEILING($B17*$D17/3,1)&gt;=AF$2,CEILING($F$1*IF($Y$15*$AD$15&gt;=$I$1,1,IF($Y$15*$AD$15&gt;=$H$1,0.5,0))*(1+IF($N$15=$D$1,IF($Y$15*$AD$15&gt;=$K$1,0,IF($Y$15*$AD$15&gt;=$J$1,0,0)),0))*$B17*$D17*$E17^(AF$2-1),1),0)</f>
        <v>0</v>
      </c>
      <c r="AG17" s="47">
        <f>IF(CEILING($B17*$D17/3,1)&gt;=AG$2,CEILING($F$1*IF($Y$15*$AD$15&gt;=$I$1,1,IF($Y$15*$AD$15&gt;=$H$1,0.5,0))*(1+IF($N$15=$D$1,IF($Y$15*$AD$15&gt;=$K$1,0,IF($Y$15*$AD$15&gt;=$J$1,0,0)),0))*$B17*$D17*$E17^(AG$2-1),1),0)</f>
        <v>0</v>
      </c>
      <c r="AH17" s="47">
        <f>IF(CEILING($B17*$D17/3,1)&gt;=AH$2,CEILING($F$1*IF($Y$15*$AD$15&gt;=$I$1,1,IF($Y$15*$AD$15&gt;=$H$1,0.5,0))*(1+IF($N$15=$D$1,IF($Y$15*$AD$15&gt;=$K$1,0,IF($Y$15*$AD$15&gt;=$J$1,0,0)),0))*$B17*$D17*$E17^(AH$2-1),1),0)</f>
        <v>0</v>
      </c>
      <c r="AI17" s="48">
        <f>IF(CEILING($B17*$D17/3,1)&gt;=AI$2,CEILING($F$1*IF($Y$15*$AD$15&gt;=$I$1,1,IF($Y$15*$AD$15&gt;=$H$1,0.5,0))*(1+IF($N$15=$D$1,IF($Y$15*$AD$15&gt;=$K$1,0,IF($Y$15*$AD$15&gt;=$J$1,0,0)),0))*$B17*$D17*$E17^(AI$2-1),1),0)</f>
        <v>0</v>
      </c>
    </row>
    <row r="18" spans="1:35" x14ac:dyDescent="0.25">
      <c r="A18" s="58">
        <v>3</v>
      </c>
      <c r="B18" s="60">
        <v>0.95</v>
      </c>
      <c r="C18" s="16">
        <v>0</v>
      </c>
      <c r="D18" s="67">
        <f>CEILING(1+MIN(T$15-C18-1,$L$1)+(T$15-C18-1-MIN(T$15-C18-1,$L$1))/$M$1,1)</f>
        <v>16</v>
      </c>
      <c r="E18" s="63">
        <f>MAX(($G$1/($F$1*D18))^(1/(ROUNDUP(D18/3,)-1)),2/3)</f>
        <v>0.66666666666666663</v>
      </c>
      <c r="F18" s="47">
        <f>IF(CEILING($B18*$D18/3,1)&gt;=F$2,CEILING($F$1*IF($Y$15*$AD$15&gt;=$I$1,1,IF($Y$15*$AD$15&gt;=$H$1,0.5,0))*(1+IF($N$15=$D$1,IF($Y$15*$AD$15&gt;=$K$1,0,IF($Y$15*$AD$15&gt;=$J$1,0,0)),0))*$B18*$D18*$E18^(F$2-1),1),0)</f>
        <v>23</v>
      </c>
      <c r="G18" s="47">
        <f>IF(CEILING($B18*$D18/3,1)&gt;=G$2,CEILING($F$1*IF($Y$15*$AD$15&gt;=$I$1,1,IF($Y$15*$AD$15&gt;=$H$1,0.5,0))*(1+IF($N$15=$D$1,IF($Y$15*$AD$15&gt;=$K$1,0,IF($Y$15*$AD$15&gt;=$J$1,0,0)),0))*$B18*$D18*$E18^(G$2-1),1),0)</f>
        <v>16</v>
      </c>
      <c r="H18" s="47">
        <f>IF(CEILING($B18*$D18/3,1)&gt;=H$2,CEILING($F$1*IF($Y$15*$AD$15&gt;=$I$1,1,IF($Y$15*$AD$15&gt;=$H$1,0.5,0))*(1+IF($N$15=$D$1,IF($Y$15*$AD$15&gt;=$K$1,0,IF($Y$15*$AD$15&gt;=$J$1,0,0)),0))*$B18*$D18*$E18^(H$2-1),1),0)</f>
        <v>11</v>
      </c>
      <c r="I18" s="47">
        <f>IF(CEILING($B18*$D18/3,1)&gt;=I$2,CEILING($F$1*IF($Y$15*$AD$15&gt;=$I$1,1,IF($Y$15*$AD$15&gt;=$H$1,0.5,0))*(1+IF($N$15=$D$1,IF($Y$15*$AD$15&gt;=$K$1,0,IF($Y$15*$AD$15&gt;=$J$1,0,0)),0))*$B18*$D18*$E18^(I$2-1),1),0)</f>
        <v>7</v>
      </c>
      <c r="J18" s="47">
        <f>IF(CEILING($B18*$D18/3,1)&gt;=J$2,CEILING($F$1*IF($Y$15*$AD$15&gt;=$I$1,1,IF($Y$15*$AD$15&gt;=$H$1,0.5,0))*(1+IF($N$15=$D$1,IF($Y$15*$AD$15&gt;=$K$1,0,IF($Y$15*$AD$15&gt;=$J$1,0,0)),0))*$B18*$D18*$E18^(J$2-1),1),0)</f>
        <v>5</v>
      </c>
      <c r="K18" s="47">
        <f>IF(CEILING($B18*$D18/3,1)&gt;=K$2,CEILING($F$1*IF($Y$15*$AD$15&gt;=$I$1,1,IF($Y$15*$AD$15&gt;=$H$1,0.5,0))*(1+IF($N$15=$D$1,IF($Y$15*$AD$15&gt;=$K$1,0,IF($Y$15*$AD$15&gt;=$J$1,0,0)),0))*$B18*$D18*$E18^(K$2-1),1),0)</f>
        <v>4</v>
      </c>
      <c r="L18" s="47">
        <f>IF(CEILING($B18*$D18/3,1)&gt;=L$2,CEILING($F$1*IF($Y$15*$AD$15&gt;=$I$1,1,IF($Y$15*$AD$15&gt;=$H$1,0.5,0))*(1+IF($N$15=$D$1,IF($Y$15*$AD$15&gt;=$K$1,0,IF($Y$15*$AD$15&gt;=$J$1,0,0)),0))*$B18*$D18*$E18^(L$2-1),1),0)</f>
        <v>0</v>
      </c>
      <c r="M18" s="47">
        <f>IF(CEILING($B18*$D18/3,1)&gt;=M$2,CEILING($F$1*IF($Y$15*$AD$15&gt;=$I$1,1,IF($Y$15*$AD$15&gt;=$H$1,0.5,0))*(1+IF($N$15=$D$1,IF($Y$15*$AD$15&gt;=$K$1,0,IF($Y$15*$AD$15&gt;=$J$1,0,0)),0))*$B18*$D18*$E18^(M$2-1),1),0)</f>
        <v>0</v>
      </c>
      <c r="N18" s="47">
        <f>IF(CEILING($B18*$D18/3,1)&gt;=N$2,CEILING($F$1*IF($Y$15*$AD$15&gt;=$I$1,1,IF($Y$15*$AD$15&gt;=$H$1,0.5,0))*(1+IF($N$15=$D$1,IF($Y$15*$AD$15&gt;=$K$1,0,IF($Y$15*$AD$15&gt;=$J$1,0,0)),0))*$B18*$D18*$E18^(N$2-1),1),0)</f>
        <v>0</v>
      </c>
      <c r="O18" s="47">
        <f>IF(CEILING($B18*$D18/3,1)&gt;=O$2,CEILING($F$1*IF($Y$15*$AD$15&gt;=$I$1,1,IF($Y$15*$AD$15&gt;=$H$1,0.5,0))*(1+IF($N$15=$D$1,IF($Y$15*$AD$15&gt;=$K$1,0,IF($Y$15*$AD$15&gt;=$J$1,0,0)),0))*$B18*$D18*$E18^(O$2-1),1),0)</f>
        <v>0</v>
      </c>
      <c r="P18" s="47">
        <f>IF(CEILING($B18*$D18/3,1)&gt;=P$2,CEILING($F$1*IF($Y$15*$AD$15&gt;=$I$1,1,IF($Y$15*$AD$15&gt;=$H$1,0.5,0))*(1+IF($N$15=$D$1,IF($Y$15*$AD$15&gt;=$K$1,0,IF($Y$15*$AD$15&gt;=$J$1,0,0)),0))*$B18*$D18*$E18^(P$2-1),1),0)</f>
        <v>0</v>
      </c>
      <c r="Q18" s="47">
        <f>IF(CEILING($B18*$D18/3,1)&gt;=Q$2,CEILING($F$1*IF($Y$15*$AD$15&gt;=$I$1,1,IF($Y$15*$AD$15&gt;=$H$1,0.5,0))*(1+IF($N$15=$D$1,IF($Y$15*$AD$15&gt;=$K$1,0,IF($Y$15*$AD$15&gt;=$J$1,0,0)),0))*$B18*$D18*$E18^(Q$2-1),1),0)</f>
        <v>0</v>
      </c>
      <c r="R18" s="47">
        <f>IF(CEILING($B18*$D18/3,1)&gt;=R$2,CEILING($F$1*IF($Y$15*$AD$15&gt;=$I$1,1,IF($Y$15*$AD$15&gt;=$H$1,0.5,0))*(1+IF($N$15=$D$1,IF($Y$15*$AD$15&gt;=$K$1,0,IF($Y$15*$AD$15&gt;=$J$1,0,0)),0))*$B18*$D18*$E18^(R$2-1),1),0)</f>
        <v>0</v>
      </c>
      <c r="S18" s="47">
        <f>IF(CEILING($B18*$D18/3,1)&gt;=S$2,CEILING($F$1*IF($Y$15*$AD$15&gt;=$I$1,1,IF($Y$15*$AD$15&gt;=$H$1,0.5,0))*(1+IF($N$15=$D$1,IF($Y$15*$AD$15&gt;=$K$1,0,IF($Y$15*$AD$15&gt;=$J$1,0,0)),0))*$B18*$D18*$E18^(S$2-1),1),0)</f>
        <v>0</v>
      </c>
      <c r="T18" s="47">
        <f>IF(CEILING($B18*$D18/3,1)&gt;=T$2,CEILING($F$1*IF($Y$15*$AD$15&gt;=$I$1,1,IF($Y$15*$AD$15&gt;=$H$1,0.5,0))*(1+IF($N$15=$D$1,IF($Y$15*$AD$15&gt;=$K$1,0,IF($Y$15*$AD$15&gt;=$J$1,0,0)),0))*$B18*$D18*$E18^(T$2-1),1),0)</f>
        <v>0</v>
      </c>
      <c r="U18" s="47">
        <f>IF(CEILING($B18*$D18/3,1)&gt;=U$2,CEILING($F$1*IF($Y$15*$AD$15&gt;=$I$1,1,IF($Y$15*$AD$15&gt;=$H$1,0.5,0))*(1+IF($N$15=$D$1,IF($Y$15*$AD$15&gt;=$K$1,0,IF($Y$15*$AD$15&gt;=$J$1,0,0)),0))*$B18*$D18*$E18^(U$2-1),1),0)</f>
        <v>0</v>
      </c>
      <c r="V18" s="47">
        <f>IF(CEILING($B18*$D18/3,1)&gt;=V$2,CEILING($F$1*IF($Y$15*$AD$15&gt;=$I$1,1,IF($Y$15*$AD$15&gt;=$H$1,0.5,0))*(1+IF($N$15=$D$1,IF($Y$15*$AD$15&gt;=$K$1,0,IF($Y$15*$AD$15&gt;=$J$1,0,0)),0))*$B18*$D18*$E18^(V$2-1),1),0)</f>
        <v>0</v>
      </c>
      <c r="W18" s="47">
        <f>IF(CEILING($B18*$D18/3,1)&gt;=W$2,CEILING($F$1*IF($Y$15*$AD$15&gt;=$I$1,1,IF($Y$15*$AD$15&gt;=$H$1,0.5,0))*(1+IF($N$15=$D$1,IF($Y$15*$AD$15&gt;=$K$1,0,IF($Y$15*$AD$15&gt;=$J$1,0,0)),0))*$B18*$D18*$E18^(W$2-1),1),0)</f>
        <v>0</v>
      </c>
      <c r="X18" s="47">
        <f>IF(CEILING($B18*$D18/3,1)&gt;=X$2,CEILING($F$1*IF($Y$15*$AD$15&gt;=$I$1,1,IF($Y$15*$AD$15&gt;=$H$1,0.5,0))*(1+IF($N$15=$D$1,IF($Y$15*$AD$15&gt;=$K$1,0,IF($Y$15*$AD$15&gt;=$J$1,0,0)),0))*$B18*$D18*$E18^(X$2-1),1),0)</f>
        <v>0</v>
      </c>
      <c r="Y18" s="47">
        <f>IF(CEILING($B18*$D18/3,1)&gt;=Y$2,CEILING($F$1*IF($Y$15*$AD$15&gt;=$I$1,1,IF($Y$15*$AD$15&gt;=$H$1,0.5,0))*(1+IF($N$15=$D$1,IF($Y$15*$AD$15&gt;=$K$1,0,IF($Y$15*$AD$15&gt;=$J$1,0,0)),0))*$B18*$D18*$E18^(Y$2-1),1),0)</f>
        <v>0</v>
      </c>
      <c r="Z18" s="47">
        <f>IF(CEILING($B18*$D18/3,1)&gt;=Z$2,CEILING($F$1*IF($Y$15*$AD$15&gt;=$I$1,1,IF($Y$15*$AD$15&gt;=$H$1,0.5,0))*(1+IF($N$15=$D$1,IF($Y$15*$AD$15&gt;=$K$1,0,IF($Y$15*$AD$15&gt;=$J$1,0,0)),0))*$B18*$D18*$E18^(Z$2-1),1),0)</f>
        <v>0</v>
      </c>
      <c r="AA18" s="47">
        <f>IF(CEILING($B18*$D18/3,1)&gt;=AA$2,CEILING($F$1*IF($Y$15*$AD$15&gt;=$I$1,1,IF($Y$15*$AD$15&gt;=$H$1,0.5,0))*(1+IF($N$15=$D$1,IF($Y$15*$AD$15&gt;=$K$1,0,IF($Y$15*$AD$15&gt;=$J$1,0,0)),0))*$B18*$D18*$E18^(AA$2-1),1),0)</f>
        <v>0</v>
      </c>
      <c r="AB18" s="47">
        <f>IF(CEILING($B18*$D18/3,1)&gt;=AB$2,CEILING($F$1*IF($Y$15*$AD$15&gt;=$I$1,1,IF($Y$15*$AD$15&gt;=$H$1,0.5,0))*(1+IF($N$15=$D$1,IF($Y$15*$AD$15&gt;=$K$1,0,IF($Y$15*$AD$15&gt;=$J$1,0,0)),0))*$B18*$D18*$E18^(AB$2-1),1),0)</f>
        <v>0</v>
      </c>
      <c r="AC18" s="47">
        <f>IF(CEILING($B18*$D18/3,1)&gt;=AC$2,CEILING($F$1*IF($Y$15*$AD$15&gt;=$I$1,1,IF($Y$15*$AD$15&gt;=$H$1,0.5,0))*(1+IF($N$15=$D$1,IF($Y$15*$AD$15&gt;=$K$1,0,IF($Y$15*$AD$15&gt;=$J$1,0,0)),0))*$B18*$D18*$E18^(AC$2-1),1),0)</f>
        <v>0</v>
      </c>
      <c r="AD18" s="47">
        <f>IF(CEILING($B18*$D18/3,1)&gt;=AD$2,CEILING($F$1*IF($Y$15*$AD$15&gt;=$I$1,1,IF($Y$15*$AD$15&gt;=$H$1,0.5,0))*(1+IF($N$15=$D$1,IF($Y$15*$AD$15&gt;=$K$1,0,IF($Y$15*$AD$15&gt;=$J$1,0,0)),0))*$B18*$D18*$E18^(AD$2-1),1),0)</f>
        <v>0</v>
      </c>
      <c r="AE18" s="47">
        <f>IF(CEILING($B18*$D18/3,1)&gt;=AE$2,CEILING($F$1*IF($Y$15*$AD$15&gt;=$I$1,1,IF($Y$15*$AD$15&gt;=$H$1,0.5,0))*(1+IF($N$15=$D$1,IF($Y$15*$AD$15&gt;=$K$1,0,IF($Y$15*$AD$15&gt;=$J$1,0,0)),0))*$B18*$D18*$E18^(AE$2-1),1),0)</f>
        <v>0</v>
      </c>
      <c r="AF18" s="47">
        <f>IF(CEILING($B18*$D18/3,1)&gt;=AF$2,CEILING($F$1*IF($Y$15*$AD$15&gt;=$I$1,1,IF($Y$15*$AD$15&gt;=$H$1,0.5,0))*(1+IF($N$15=$D$1,IF($Y$15*$AD$15&gt;=$K$1,0,IF($Y$15*$AD$15&gt;=$J$1,0,0)),0))*$B18*$D18*$E18^(AF$2-1),1),0)</f>
        <v>0</v>
      </c>
      <c r="AG18" s="47">
        <f>IF(CEILING($B18*$D18/3,1)&gt;=AG$2,CEILING($F$1*IF($Y$15*$AD$15&gt;=$I$1,1,IF($Y$15*$AD$15&gt;=$H$1,0.5,0))*(1+IF($N$15=$D$1,IF($Y$15*$AD$15&gt;=$K$1,0,IF($Y$15*$AD$15&gt;=$J$1,0,0)),0))*$B18*$D18*$E18^(AG$2-1),1),0)</f>
        <v>0</v>
      </c>
      <c r="AH18" s="47">
        <f>IF(CEILING($B18*$D18/3,1)&gt;=AH$2,CEILING($F$1*IF($Y$15*$AD$15&gt;=$I$1,1,IF($Y$15*$AD$15&gt;=$H$1,0.5,0))*(1+IF($N$15=$D$1,IF($Y$15*$AD$15&gt;=$K$1,0,IF($Y$15*$AD$15&gt;=$J$1,0,0)),0))*$B18*$D18*$E18^(AH$2-1),1),0)</f>
        <v>0</v>
      </c>
      <c r="AI18" s="48">
        <f>IF(CEILING($B18*$D18/3,1)&gt;=AI$2,CEILING($F$1*IF($Y$15*$AD$15&gt;=$I$1,1,IF($Y$15*$AD$15&gt;=$H$1,0.5,0))*(1+IF($N$15=$D$1,IF($Y$15*$AD$15&gt;=$K$1,0,IF($Y$15*$AD$15&gt;=$J$1,0,0)),0))*$B18*$D18*$E18^(AI$2-1),1),0)</f>
        <v>0</v>
      </c>
    </row>
    <row r="19" spans="1:35" x14ac:dyDescent="0.25">
      <c r="A19" s="58">
        <v>4</v>
      </c>
      <c r="B19" s="60">
        <v>0.85</v>
      </c>
      <c r="C19" s="16">
        <v>0</v>
      </c>
      <c r="D19" s="67">
        <f>CEILING(1+MIN(T$15-C19-1,$L$1)+(T$15-C19-1-MIN(T$15-C19-1,$L$1))/$M$1,1)</f>
        <v>16</v>
      </c>
      <c r="E19" s="63">
        <f>MAX(($G$1/($F$1*D19))^(1/(ROUNDUP(D19/3,)-1)),2/3)</f>
        <v>0.66666666666666663</v>
      </c>
      <c r="F19" s="47">
        <f>IF(CEILING($B19*$D19/3,1)&gt;=F$2,CEILING($F$1*IF($Y$15*$AD$15&gt;=$I$1,1,IF($Y$15*$AD$15&gt;=$H$1,0.5,0))*(1+IF($N$15=$D$1,IF($Y$15*$AD$15&gt;=$K$1,0,IF($Y$15*$AD$15&gt;=$J$1,0,0)),0))*$B19*$D19*$E19^(F$2-1),1),0)</f>
        <v>21</v>
      </c>
      <c r="G19" s="47">
        <f>IF(CEILING($B19*$D19/3,1)&gt;=G$2,CEILING($F$1*IF($Y$15*$AD$15&gt;=$I$1,1,IF($Y$15*$AD$15&gt;=$H$1,0.5,0))*(1+IF($N$15=$D$1,IF($Y$15*$AD$15&gt;=$K$1,0,IF($Y$15*$AD$15&gt;=$J$1,0,0)),0))*$B19*$D19*$E19^(G$2-1),1),0)</f>
        <v>14</v>
      </c>
      <c r="H19" s="47">
        <f>IF(CEILING($B19*$D19/3,1)&gt;=H$2,CEILING($F$1*IF($Y$15*$AD$15&gt;=$I$1,1,IF($Y$15*$AD$15&gt;=$H$1,0.5,0))*(1+IF($N$15=$D$1,IF($Y$15*$AD$15&gt;=$K$1,0,IF($Y$15*$AD$15&gt;=$J$1,0,0)),0))*$B19*$D19*$E19^(H$2-1),1),0)</f>
        <v>10</v>
      </c>
      <c r="I19" s="47">
        <f>IF(CEILING($B19*$D19/3,1)&gt;=I$2,CEILING($F$1*IF($Y$15*$AD$15&gt;=$I$1,1,IF($Y$15*$AD$15&gt;=$H$1,0.5,0))*(1+IF($N$15=$D$1,IF($Y$15*$AD$15&gt;=$K$1,0,IF($Y$15*$AD$15&gt;=$J$1,0,0)),0))*$B19*$D19*$E19^(I$2-1),1),0)</f>
        <v>7</v>
      </c>
      <c r="J19" s="47">
        <f>IF(CEILING($B19*$D19/3,1)&gt;=J$2,CEILING($F$1*IF($Y$15*$AD$15&gt;=$I$1,1,IF($Y$15*$AD$15&gt;=$H$1,0.5,0))*(1+IF($N$15=$D$1,IF($Y$15*$AD$15&gt;=$K$1,0,IF($Y$15*$AD$15&gt;=$J$1,0,0)),0))*$B19*$D19*$E19^(J$2-1),1),0)</f>
        <v>5</v>
      </c>
      <c r="K19" s="47">
        <f>IF(CEILING($B19*$D19/3,1)&gt;=K$2,CEILING($F$1*IF($Y$15*$AD$15&gt;=$I$1,1,IF($Y$15*$AD$15&gt;=$H$1,0.5,0))*(1+IF($N$15=$D$1,IF($Y$15*$AD$15&gt;=$K$1,0,IF($Y$15*$AD$15&gt;=$J$1,0,0)),0))*$B19*$D19*$E19^(K$2-1),1),0)</f>
        <v>0</v>
      </c>
      <c r="L19" s="47">
        <f>IF(CEILING($B19*$D19/3,1)&gt;=L$2,CEILING($F$1*IF($Y$15*$AD$15&gt;=$I$1,1,IF($Y$15*$AD$15&gt;=$H$1,0.5,0))*(1+IF($N$15=$D$1,IF($Y$15*$AD$15&gt;=$K$1,0,IF($Y$15*$AD$15&gt;=$J$1,0,0)),0))*$B19*$D19*$E19^(L$2-1),1),0)</f>
        <v>0</v>
      </c>
      <c r="M19" s="47">
        <f>IF(CEILING($B19*$D19/3,1)&gt;=M$2,CEILING($F$1*IF($Y$15*$AD$15&gt;=$I$1,1,IF($Y$15*$AD$15&gt;=$H$1,0.5,0))*(1+IF($N$15=$D$1,IF($Y$15*$AD$15&gt;=$K$1,0,IF($Y$15*$AD$15&gt;=$J$1,0,0)),0))*$B19*$D19*$E19^(M$2-1),1),0)</f>
        <v>0</v>
      </c>
      <c r="N19" s="47">
        <f>IF(CEILING($B19*$D19/3,1)&gt;=N$2,CEILING($F$1*IF($Y$15*$AD$15&gt;=$I$1,1,IF($Y$15*$AD$15&gt;=$H$1,0.5,0))*(1+IF($N$15=$D$1,IF($Y$15*$AD$15&gt;=$K$1,0,IF($Y$15*$AD$15&gt;=$J$1,0,0)),0))*$B19*$D19*$E19^(N$2-1),1),0)</f>
        <v>0</v>
      </c>
      <c r="O19" s="47">
        <f>IF(CEILING($B19*$D19/3,1)&gt;=O$2,CEILING($F$1*IF($Y$15*$AD$15&gt;=$I$1,1,IF($Y$15*$AD$15&gt;=$H$1,0.5,0))*(1+IF($N$15=$D$1,IF($Y$15*$AD$15&gt;=$K$1,0,IF($Y$15*$AD$15&gt;=$J$1,0,0)),0))*$B19*$D19*$E19^(O$2-1),1),0)</f>
        <v>0</v>
      </c>
      <c r="P19" s="47">
        <f>IF(CEILING($B19*$D19/3,1)&gt;=P$2,CEILING($F$1*IF($Y$15*$AD$15&gt;=$I$1,1,IF($Y$15*$AD$15&gt;=$H$1,0.5,0))*(1+IF($N$15=$D$1,IF($Y$15*$AD$15&gt;=$K$1,0,IF($Y$15*$AD$15&gt;=$J$1,0,0)),0))*$B19*$D19*$E19^(P$2-1),1),0)</f>
        <v>0</v>
      </c>
      <c r="Q19" s="47">
        <f>IF(CEILING($B19*$D19/3,1)&gt;=Q$2,CEILING($F$1*IF($Y$15*$AD$15&gt;=$I$1,1,IF($Y$15*$AD$15&gt;=$H$1,0.5,0))*(1+IF($N$15=$D$1,IF($Y$15*$AD$15&gt;=$K$1,0,IF($Y$15*$AD$15&gt;=$J$1,0,0)),0))*$B19*$D19*$E19^(Q$2-1),1),0)</f>
        <v>0</v>
      </c>
      <c r="R19" s="47">
        <f>IF(CEILING($B19*$D19/3,1)&gt;=R$2,CEILING($F$1*IF($Y$15*$AD$15&gt;=$I$1,1,IF($Y$15*$AD$15&gt;=$H$1,0.5,0))*(1+IF($N$15=$D$1,IF($Y$15*$AD$15&gt;=$K$1,0,IF($Y$15*$AD$15&gt;=$J$1,0,0)),0))*$B19*$D19*$E19^(R$2-1),1),0)</f>
        <v>0</v>
      </c>
      <c r="S19" s="47">
        <f>IF(CEILING($B19*$D19/3,1)&gt;=S$2,CEILING($F$1*IF($Y$15*$AD$15&gt;=$I$1,1,IF($Y$15*$AD$15&gt;=$H$1,0.5,0))*(1+IF($N$15=$D$1,IF($Y$15*$AD$15&gt;=$K$1,0,IF($Y$15*$AD$15&gt;=$J$1,0,0)),0))*$B19*$D19*$E19^(S$2-1),1),0)</f>
        <v>0</v>
      </c>
      <c r="T19" s="47">
        <f>IF(CEILING($B19*$D19/3,1)&gt;=T$2,CEILING($F$1*IF($Y$15*$AD$15&gt;=$I$1,1,IF($Y$15*$AD$15&gt;=$H$1,0.5,0))*(1+IF($N$15=$D$1,IF($Y$15*$AD$15&gt;=$K$1,0,IF($Y$15*$AD$15&gt;=$J$1,0,0)),0))*$B19*$D19*$E19^(T$2-1),1),0)</f>
        <v>0</v>
      </c>
      <c r="U19" s="47">
        <f>IF(CEILING($B19*$D19/3,1)&gt;=U$2,CEILING($F$1*IF($Y$15*$AD$15&gt;=$I$1,1,IF($Y$15*$AD$15&gt;=$H$1,0.5,0))*(1+IF($N$15=$D$1,IF($Y$15*$AD$15&gt;=$K$1,0,IF($Y$15*$AD$15&gt;=$J$1,0,0)),0))*$B19*$D19*$E19^(U$2-1),1),0)</f>
        <v>0</v>
      </c>
      <c r="V19" s="47">
        <f>IF(CEILING($B19*$D19/3,1)&gt;=V$2,CEILING($F$1*IF($Y$15*$AD$15&gt;=$I$1,1,IF($Y$15*$AD$15&gt;=$H$1,0.5,0))*(1+IF($N$15=$D$1,IF($Y$15*$AD$15&gt;=$K$1,0,IF($Y$15*$AD$15&gt;=$J$1,0,0)),0))*$B19*$D19*$E19^(V$2-1),1),0)</f>
        <v>0</v>
      </c>
      <c r="W19" s="47">
        <f>IF(CEILING($B19*$D19/3,1)&gt;=W$2,CEILING($F$1*IF($Y$15*$AD$15&gt;=$I$1,1,IF($Y$15*$AD$15&gt;=$H$1,0.5,0))*(1+IF($N$15=$D$1,IF($Y$15*$AD$15&gt;=$K$1,0,IF($Y$15*$AD$15&gt;=$J$1,0,0)),0))*$B19*$D19*$E19^(W$2-1),1),0)</f>
        <v>0</v>
      </c>
      <c r="X19" s="47">
        <f>IF(CEILING($B19*$D19/3,1)&gt;=X$2,CEILING($F$1*IF($Y$15*$AD$15&gt;=$I$1,1,IF($Y$15*$AD$15&gt;=$H$1,0.5,0))*(1+IF($N$15=$D$1,IF($Y$15*$AD$15&gt;=$K$1,0,IF($Y$15*$AD$15&gt;=$J$1,0,0)),0))*$B19*$D19*$E19^(X$2-1),1),0)</f>
        <v>0</v>
      </c>
      <c r="Y19" s="47">
        <f>IF(CEILING($B19*$D19/3,1)&gt;=Y$2,CEILING($F$1*IF($Y$15*$AD$15&gt;=$I$1,1,IF($Y$15*$AD$15&gt;=$H$1,0.5,0))*(1+IF($N$15=$D$1,IF($Y$15*$AD$15&gt;=$K$1,0,IF($Y$15*$AD$15&gt;=$J$1,0,0)),0))*$B19*$D19*$E19^(Y$2-1),1),0)</f>
        <v>0</v>
      </c>
      <c r="Z19" s="47">
        <f>IF(CEILING($B19*$D19/3,1)&gt;=Z$2,CEILING($F$1*IF($Y$15*$AD$15&gt;=$I$1,1,IF($Y$15*$AD$15&gt;=$H$1,0.5,0))*(1+IF($N$15=$D$1,IF($Y$15*$AD$15&gt;=$K$1,0,IF($Y$15*$AD$15&gt;=$J$1,0,0)),0))*$B19*$D19*$E19^(Z$2-1),1),0)</f>
        <v>0</v>
      </c>
      <c r="AA19" s="47">
        <f>IF(CEILING($B19*$D19/3,1)&gt;=AA$2,CEILING($F$1*IF($Y$15*$AD$15&gt;=$I$1,1,IF($Y$15*$AD$15&gt;=$H$1,0.5,0))*(1+IF($N$15=$D$1,IF($Y$15*$AD$15&gt;=$K$1,0,IF($Y$15*$AD$15&gt;=$J$1,0,0)),0))*$B19*$D19*$E19^(AA$2-1),1),0)</f>
        <v>0</v>
      </c>
      <c r="AB19" s="47">
        <f>IF(CEILING($B19*$D19/3,1)&gt;=AB$2,CEILING($F$1*IF($Y$15*$AD$15&gt;=$I$1,1,IF($Y$15*$AD$15&gt;=$H$1,0.5,0))*(1+IF($N$15=$D$1,IF($Y$15*$AD$15&gt;=$K$1,0,IF($Y$15*$AD$15&gt;=$J$1,0,0)),0))*$B19*$D19*$E19^(AB$2-1),1),0)</f>
        <v>0</v>
      </c>
      <c r="AC19" s="47">
        <f>IF(CEILING($B19*$D19/3,1)&gt;=AC$2,CEILING($F$1*IF($Y$15*$AD$15&gt;=$I$1,1,IF($Y$15*$AD$15&gt;=$H$1,0.5,0))*(1+IF($N$15=$D$1,IF($Y$15*$AD$15&gt;=$K$1,0,IF($Y$15*$AD$15&gt;=$J$1,0,0)),0))*$B19*$D19*$E19^(AC$2-1),1),0)</f>
        <v>0</v>
      </c>
      <c r="AD19" s="47">
        <f>IF(CEILING($B19*$D19/3,1)&gt;=AD$2,CEILING($F$1*IF($Y$15*$AD$15&gt;=$I$1,1,IF($Y$15*$AD$15&gt;=$H$1,0.5,0))*(1+IF($N$15=$D$1,IF($Y$15*$AD$15&gt;=$K$1,0,IF($Y$15*$AD$15&gt;=$J$1,0,0)),0))*$B19*$D19*$E19^(AD$2-1),1),0)</f>
        <v>0</v>
      </c>
      <c r="AE19" s="47">
        <f>IF(CEILING($B19*$D19/3,1)&gt;=AE$2,CEILING($F$1*IF($Y$15*$AD$15&gt;=$I$1,1,IF($Y$15*$AD$15&gt;=$H$1,0.5,0))*(1+IF($N$15=$D$1,IF($Y$15*$AD$15&gt;=$K$1,0,IF($Y$15*$AD$15&gt;=$J$1,0,0)),0))*$B19*$D19*$E19^(AE$2-1),1),0)</f>
        <v>0</v>
      </c>
      <c r="AF19" s="47">
        <f>IF(CEILING($B19*$D19/3,1)&gt;=AF$2,CEILING($F$1*IF($Y$15*$AD$15&gt;=$I$1,1,IF($Y$15*$AD$15&gt;=$H$1,0.5,0))*(1+IF($N$15=$D$1,IF($Y$15*$AD$15&gt;=$K$1,0,IF($Y$15*$AD$15&gt;=$J$1,0,0)),0))*$B19*$D19*$E19^(AF$2-1),1),0)</f>
        <v>0</v>
      </c>
      <c r="AG19" s="47">
        <f>IF(CEILING($B19*$D19/3,1)&gt;=AG$2,CEILING($F$1*IF($Y$15*$AD$15&gt;=$I$1,1,IF($Y$15*$AD$15&gt;=$H$1,0.5,0))*(1+IF($N$15=$D$1,IF($Y$15*$AD$15&gt;=$K$1,0,IF($Y$15*$AD$15&gt;=$J$1,0,0)),0))*$B19*$D19*$E19^(AG$2-1),1),0)</f>
        <v>0</v>
      </c>
      <c r="AH19" s="47">
        <f>IF(CEILING($B19*$D19/3,1)&gt;=AH$2,CEILING($F$1*IF($Y$15*$AD$15&gt;=$I$1,1,IF($Y$15*$AD$15&gt;=$H$1,0.5,0))*(1+IF($N$15=$D$1,IF($Y$15*$AD$15&gt;=$K$1,0,IF($Y$15*$AD$15&gt;=$J$1,0,0)),0))*$B19*$D19*$E19^(AH$2-1),1),0)</f>
        <v>0</v>
      </c>
      <c r="AI19" s="48">
        <f>IF(CEILING($B19*$D19/3,1)&gt;=AI$2,CEILING($F$1*IF($Y$15*$AD$15&gt;=$I$1,1,IF($Y$15*$AD$15&gt;=$H$1,0.5,0))*(1+IF($N$15=$D$1,IF($Y$15*$AD$15&gt;=$K$1,0,IF($Y$15*$AD$15&gt;=$J$1,0,0)),0))*$B19*$D19*$E19^(AI$2-1),1),0)</f>
        <v>0</v>
      </c>
    </row>
    <row r="20" spans="1:35" ht="15" customHeight="1" x14ac:dyDescent="0.25">
      <c r="A20" s="58"/>
      <c r="B20" s="60"/>
      <c r="C20" s="6"/>
      <c r="D20" s="68"/>
      <c r="E20" s="64"/>
      <c r="F20" s="49"/>
      <c r="G20" s="49"/>
      <c r="H20" s="49"/>
      <c r="I20" s="49"/>
      <c r="J20" s="50"/>
      <c r="K20" s="50"/>
      <c r="L20" s="50"/>
      <c r="M20" s="50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51"/>
    </row>
    <row r="21" spans="1:35" x14ac:dyDescent="0.25">
      <c r="A21" s="58"/>
      <c r="B21" s="60"/>
      <c r="C21" s="6"/>
      <c r="D21" s="68"/>
      <c r="E21" s="64"/>
      <c r="F21" s="117" t="s">
        <v>11</v>
      </c>
      <c r="G21" s="117"/>
      <c r="H21" s="117"/>
      <c r="I21" s="36">
        <v>5</v>
      </c>
      <c r="J21" s="113" t="s">
        <v>3</v>
      </c>
      <c r="K21" s="113"/>
      <c r="L21" s="113"/>
      <c r="M21" s="113"/>
      <c r="N21" s="118" t="s">
        <v>27</v>
      </c>
      <c r="O21" s="118"/>
      <c r="P21" s="115" t="s">
        <v>1</v>
      </c>
      <c r="Q21" s="115"/>
      <c r="R21" s="115"/>
      <c r="S21" s="115"/>
      <c r="T21" s="15">
        <v>16</v>
      </c>
      <c r="U21" s="116" t="s">
        <v>2</v>
      </c>
      <c r="V21" s="116"/>
      <c r="W21" s="116"/>
      <c r="X21" s="116"/>
      <c r="Y21" s="15">
        <v>15</v>
      </c>
      <c r="Z21" s="116" t="s">
        <v>4</v>
      </c>
      <c r="AA21" s="116"/>
      <c r="AB21" s="116"/>
      <c r="AC21" s="116"/>
      <c r="AD21" s="15">
        <v>2</v>
      </c>
      <c r="AE21" s="26"/>
      <c r="AF21" s="26"/>
      <c r="AG21" s="26"/>
      <c r="AH21" s="26"/>
      <c r="AI21" s="27"/>
    </row>
    <row r="22" spans="1:35" x14ac:dyDescent="0.25">
      <c r="A22" s="58">
        <v>1</v>
      </c>
      <c r="B22" s="60">
        <v>1.2</v>
      </c>
      <c r="C22" s="16">
        <v>0</v>
      </c>
      <c r="D22" s="67">
        <f>CEILING(1+MIN(T$21-C22-1,$L$1)+(T$21-C22-1-MIN(T$21-C22-1,$L$1))/$M$1,1)</f>
        <v>16</v>
      </c>
      <c r="E22" s="63">
        <f>MAX(($G$1/($F$1*D22))^(1/(ROUNDUP(D22/3,)-1)),2/3)</f>
        <v>0.66666666666666663</v>
      </c>
      <c r="F22" s="47">
        <f>IF(CEILING($B22*$D22/3,1)&gt;=F$2,CEILING($F$1*IF($Y$21*$AD$21&gt;=$I$1,1,IF($Y$21*$AD$21&gt;=$H$1,0.5,0))*(1+IF($N$21=$D$1,IF($Y$21*$AD$21&gt;=$K$1,0,IF($Y$21*$AD$21&gt;=$J$1,0,0)),0))*$B22*$D22*$E22^(F$2-1),1),0)</f>
        <v>29</v>
      </c>
      <c r="G22" s="47">
        <f>IF(CEILING($B22*$D22/3,1)&gt;=G$2,CEILING($F$1*IF($Y$21*$AD$21&gt;=$I$1,1,IF($Y$21*$AD$21&gt;=$H$1,0.5,0))*(1+IF($N$21=$D$1,IF($Y$21*$AD$21&gt;=$K$1,0,IF($Y$21*$AD$21&gt;=$J$1,0,0)),0))*$B22*$D22*$E22^(G$2-1),1),0)</f>
        <v>20</v>
      </c>
      <c r="H22" s="47">
        <f>IF(CEILING($B22*$D22/3,1)&gt;=H$2,CEILING($F$1*IF($Y$21*$AD$21&gt;=$I$1,1,IF($Y$21*$AD$21&gt;=$H$1,0.5,0))*(1+IF($N$21=$D$1,IF($Y$21*$AD$21&gt;=$K$1,0,IF($Y$21*$AD$21&gt;=$J$1,0,0)),0))*$B22*$D22*$E22^(H$2-1),1),0)</f>
        <v>13</v>
      </c>
      <c r="I22" s="47">
        <f>IF(CEILING($B22*$D22/3,1)&gt;=I$2,CEILING($F$1*IF($Y$21*$AD$21&gt;=$I$1,1,IF($Y$21*$AD$21&gt;=$H$1,0.5,0))*(1+IF($N$21=$D$1,IF($Y$21*$AD$21&gt;=$K$1,0,IF($Y$21*$AD$21&gt;=$J$1,0,0)),0))*$B22*$D22*$E22^(I$2-1),1),0)</f>
        <v>9</v>
      </c>
      <c r="J22" s="47">
        <f>IF(CEILING($B22*$D22/3,1)&gt;=J$2,CEILING($F$1*IF($Y$21*$AD$21&gt;=$I$1,1,IF($Y$21*$AD$21&gt;=$H$1,0.5,0))*(1+IF($N$21=$D$1,IF($Y$21*$AD$21&gt;=$K$1,0,IF($Y$21*$AD$21&gt;=$J$1,0,0)),0))*$B22*$D22*$E22^(J$2-1),1),0)</f>
        <v>6</v>
      </c>
      <c r="K22" s="47">
        <f>IF(CEILING($B22*$D22/3,1)&gt;=K$2,CEILING($F$1*IF($Y$21*$AD$21&gt;=$I$1,1,IF($Y$21*$AD$21&gt;=$H$1,0.5,0))*(1+IF($N$21=$D$1,IF($Y$21*$AD$21&gt;=$K$1,0,IF($Y$21*$AD$21&gt;=$J$1,0,0)),0))*$B22*$D22*$E22^(K$2-1),1),0)</f>
        <v>4</v>
      </c>
      <c r="L22" s="47">
        <f>IF(CEILING($B22*$D22/3,1)&gt;=L$2,CEILING($F$1*IF($Y$21*$AD$21&gt;=$I$1,1,IF($Y$21*$AD$21&gt;=$H$1,0.5,0))*(1+IF($N$21=$D$1,IF($Y$21*$AD$21&gt;=$K$1,0,IF($Y$21*$AD$21&gt;=$J$1,0,0)),0))*$B22*$D22*$E22^(L$2-1),1),0)</f>
        <v>3</v>
      </c>
      <c r="M22" s="47">
        <f>IF(CEILING($B22*$D22/3,1)&gt;=M$2,CEILING($F$1*IF($Y$21*$AD$21&gt;=$I$1,1,IF($Y$21*$AD$21&gt;=$H$1,0.5,0))*(1+IF($N$21=$D$1,IF($Y$21*$AD$21&gt;=$K$1,0,IF($Y$21*$AD$21&gt;=$J$1,0,0)),0))*$B22*$D22*$E22^(M$2-1),1),0)</f>
        <v>0</v>
      </c>
      <c r="N22" s="47">
        <f>IF(CEILING($B22*$D22/3,1)&gt;=N$2,CEILING($F$1*IF($Y$21*$AD$21&gt;=$I$1,1,IF($Y$21*$AD$21&gt;=$H$1,0.5,0))*(1+IF($N$21=$D$1,IF($Y$21*$AD$21&gt;=$K$1,0,IF($Y$21*$AD$21&gt;=$J$1,0,0)),0))*$B22*$D22*$E22^(N$2-1),1),0)</f>
        <v>0</v>
      </c>
      <c r="O22" s="47">
        <f>IF(CEILING($B22*$D22/3,1)&gt;=O$2,CEILING($F$1*IF($Y$21*$AD$21&gt;=$I$1,1,IF($Y$21*$AD$21&gt;=$H$1,0.5,0))*(1+IF($N$21=$D$1,IF($Y$21*$AD$21&gt;=$K$1,0,IF($Y$21*$AD$21&gt;=$J$1,0,0)),0))*$B22*$D22*$E22^(O$2-1),1),0)</f>
        <v>0</v>
      </c>
      <c r="P22" s="47">
        <f>IF(CEILING($B22*$D22/3,1)&gt;=P$2,CEILING($F$1*IF($Y$21*$AD$21&gt;=$I$1,1,IF($Y$21*$AD$21&gt;=$H$1,0.5,0))*(1+IF($N$21=$D$1,IF($Y$21*$AD$21&gt;=$K$1,0,IF($Y$21*$AD$21&gt;=$J$1,0,0)),0))*$B22*$D22*$E22^(P$2-1),1),0)</f>
        <v>0</v>
      </c>
      <c r="Q22" s="47">
        <f>IF(CEILING($B22*$D22/3,1)&gt;=Q$2,CEILING($F$1*IF($Y$21*$AD$21&gt;=$I$1,1,IF($Y$21*$AD$21&gt;=$H$1,0.5,0))*(1+IF($N$21=$D$1,IF($Y$21*$AD$21&gt;=$K$1,0,IF($Y$21*$AD$21&gt;=$J$1,0,0)),0))*$B22*$D22*$E22^(Q$2-1),1),0)</f>
        <v>0</v>
      </c>
      <c r="R22" s="47">
        <f>IF(CEILING($B22*$D22/3,1)&gt;=R$2,CEILING($F$1*IF($Y$21*$AD$21&gt;=$I$1,1,IF($Y$21*$AD$21&gt;=$H$1,0.5,0))*(1+IF($N$21=$D$1,IF($Y$21*$AD$21&gt;=$K$1,0,IF($Y$21*$AD$21&gt;=$J$1,0,0)),0))*$B22*$D22*$E22^(R$2-1),1),0)</f>
        <v>0</v>
      </c>
      <c r="S22" s="47">
        <f>IF(CEILING($B22*$D22/3,1)&gt;=S$2,CEILING($F$1*IF($Y$21*$AD$21&gt;=$I$1,1,IF($Y$21*$AD$21&gt;=$H$1,0.5,0))*(1+IF($N$21=$D$1,IF($Y$21*$AD$21&gt;=$K$1,0,IF($Y$21*$AD$21&gt;=$J$1,0,0)),0))*$B22*$D22*$E22^(S$2-1),1),0)</f>
        <v>0</v>
      </c>
      <c r="T22" s="47">
        <f>IF(CEILING($B22*$D22/3,1)&gt;=T$2,CEILING($F$1*IF($Y$21*$AD$21&gt;=$I$1,1,IF($Y$21*$AD$21&gt;=$H$1,0.5,0))*(1+IF($N$21=$D$1,IF($Y$21*$AD$21&gt;=$K$1,0,IF($Y$21*$AD$21&gt;=$J$1,0,0)),0))*$B22*$D22*$E22^(T$2-1),1),0)</f>
        <v>0</v>
      </c>
      <c r="U22" s="47">
        <f>IF(CEILING($B22*$D22/3,1)&gt;=U$2,CEILING($F$1*IF($Y$21*$AD$21&gt;=$I$1,1,IF($Y$21*$AD$21&gt;=$H$1,0.5,0))*(1+IF($N$21=$D$1,IF($Y$21*$AD$21&gt;=$K$1,0,IF($Y$21*$AD$21&gt;=$J$1,0,0)),0))*$B22*$D22*$E22^(U$2-1),1),0)</f>
        <v>0</v>
      </c>
      <c r="V22" s="47">
        <f>IF(CEILING($B22*$D22/3,1)&gt;=V$2,CEILING($F$1*IF($Y$21*$AD$21&gt;=$I$1,1,IF($Y$21*$AD$21&gt;=$H$1,0.5,0))*(1+IF($N$21=$D$1,IF($Y$21*$AD$21&gt;=$K$1,0,IF($Y$21*$AD$21&gt;=$J$1,0,0)),0))*$B22*$D22*$E22^(V$2-1),1),0)</f>
        <v>0</v>
      </c>
      <c r="W22" s="47">
        <f>IF(CEILING($B22*$D22/3,1)&gt;=W$2,CEILING($F$1*IF($Y$21*$AD$21&gt;=$I$1,1,IF($Y$21*$AD$21&gt;=$H$1,0.5,0))*(1+IF($N$21=$D$1,IF($Y$21*$AD$21&gt;=$K$1,0,IF($Y$21*$AD$21&gt;=$J$1,0,0)),0))*$B22*$D22*$E22^(W$2-1),1),0)</f>
        <v>0</v>
      </c>
      <c r="X22" s="47">
        <f>IF(CEILING($B22*$D22/3,1)&gt;=X$2,CEILING($F$1*IF($Y$21*$AD$21&gt;=$I$1,1,IF($Y$21*$AD$21&gt;=$H$1,0.5,0))*(1+IF($N$21=$D$1,IF($Y$21*$AD$21&gt;=$K$1,0,IF($Y$21*$AD$21&gt;=$J$1,0,0)),0))*$B22*$D22*$E22^(X$2-1),1),0)</f>
        <v>0</v>
      </c>
      <c r="Y22" s="47">
        <f>IF(CEILING($B22*$D22/3,1)&gt;=Y$2,CEILING($F$1*IF($Y$21*$AD$21&gt;=$I$1,1,IF($Y$21*$AD$21&gt;=$H$1,0.5,0))*(1+IF($N$21=$D$1,IF($Y$21*$AD$21&gt;=$K$1,0,IF($Y$21*$AD$21&gt;=$J$1,0,0)),0))*$B22*$D22*$E22^(Y$2-1),1),0)</f>
        <v>0</v>
      </c>
      <c r="Z22" s="47">
        <f>IF(CEILING($B22*$D22/3,1)&gt;=Z$2,CEILING($F$1*IF($Y$21*$AD$21&gt;=$I$1,1,IF($Y$21*$AD$21&gt;=$H$1,0.5,0))*(1+IF($N$21=$D$1,IF($Y$21*$AD$21&gt;=$K$1,0,IF($Y$21*$AD$21&gt;=$J$1,0,0)),0))*$B22*$D22*$E22^(Z$2-1),1),0)</f>
        <v>0</v>
      </c>
      <c r="AA22" s="47">
        <f>IF(CEILING($B22*$D22/3,1)&gt;=AA$2,CEILING($F$1*IF($Y$21*$AD$21&gt;=$I$1,1,IF($Y$21*$AD$21&gt;=$H$1,0.5,0))*(1+IF($N$21=$D$1,IF($Y$21*$AD$21&gt;=$K$1,0,IF($Y$21*$AD$21&gt;=$J$1,0,0)),0))*$B22*$D22*$E22^(AA$2-1),1),0)</f>
        <v>0</v>
      </c>
      <c r="AB22" s="47">
        <f>IF(CEILING($B22*$D22/3,1)&gt;=AB$2,CEILING($F$1*IF($Y$21*$AD$21&gt;=$I$1,1,IF($Y$21*$AD$21&gt;=$H$1,0.5,0))*(1+IF($N$21=$D$1,IF($Y$21*$AD$21&gt;=$K$1,0,IF($Y$21*$AD$21&gt;=$J$1,0,0)),0))*$B22*$D22*$E22^(AB$2-1),1),0)</f>
        <v>0</v>
      </c>
      <c r="AC22" s="47">
        <f>IF(CEILING($B22*$D22/3,1)&gt;=AC$2,CEILING($F$1*IF($Y$21*$AD$21&gt;=$I$1,1,IF($Y$21*$AD$21&gt;=$H$1,0.5,0))*(1+IF($N$21=$D$1,IF($Y$21*$AD$21&gt;=$K$1,0,IF($Y$21*$AD$21&gt;=$J$1,0,0)),0))*$B22*$D22*$E22^(AC$2-1),1),0)</f>
        <v>0</v>
      </c>
      <c r="AD22" s="47">
        <f>IF(CEILING($B22*$D22/3,1)&gt;=AD$2,CEILING($F$1*IF($Y$21*$AD$21&gt;=$I$1,1,IF($Y$21*$AD$21&gt;=$H$1,0.5,0))*(1+IF($N$21=$D$1,IF($Y$21*$AD$21&gt;=$K$1,0,IF($Y$21*$AD$21&gt;=$J$1,0,0)),0))*$B22*$D22*$E22^(AD$2-1),1),0)</f>
        <v>0</v>
      </c>
      <c r="AE22" s="47">
        <f>IF(CEILING($B22*$D22/3,1)&gt;=AE$2,CEILING($F$1*IF($Y$21*$AD$21&gt;=$I$1,1,IF($Y$21*$AD$21&gt;=$H$1,0.5,0))*(1+IF($N$21=$D$1,IF($Y$21*$AD$21&gt;=$K$1,0,IF($Y$21*$AD$21&gt;=$J$1,0,0)),0))*$B22*$D22*$E22^(AE$2-1),1),0)</f>
        <v>0</v>
      </c>
      <c r="AF22" s="47">
        <f>IF(CEILING($B22*$D22/3,1)&gt;=AF$2,CEILING($F$1*IF($Y$21*$AD$21&gt;=$I$1,1,IF($Y$21*$AD$21&gt;=$H$1,0.5,0))*(1+IF($N$21=$D$1,IF($Y$21*$AD$21&gt;=$K$1,0,IF($Y$21*$AD$21&gt;=$J$1,0,0)),0))*$B22*$D22*$E22^(AF$2-1),1),0)</f>
        <v>0</v>
      </c>
      <c r="AG22" s="47">
        <f>IF(CEILING($B22*$D22/3,1)&gt;=AG$2,CEILING($F$1*IF($Y$21*$AD$21&gt;=$I$1,1,IF($Y$21*$AD$21&gt;=$H$1,0.5,0))*(1+IF($N$21=$D$1,IF($Y$21*$AD$21&gt;=$K$1,0,IF($Y$21*$AD$21&gt;=$J$1,0,0)),0))*$B22*$D22*$E22^(AG$2-1),1),0)</f>
        <v>0</v>
      </c>
      <c r="AH22" s="47">
        <f>IF(CEILING($B22*$D22/3,1)&gt;=AH$2,CEILING($F$1*IF($Y$21*$AD$21&gt;=$I$1,1,IF($Y$21*$AD$21&gt;=$H$1,0.5,0))*(1+IF($N$21=$D$1,IF($Y$21*$AD$21&gt;=$K$1,0,IF($Y$21*$AD$21&gt;=$J$1,0,0)),0))*$B22*$D22*$E22^(AH$2-1),1),0)</f>
        <v>0</v>
      </c>
      <c r="AI22" s="48">
        <f>IF(CEILING($B22*$D22/3,1)&gt;=AI$2,CEILING($F$1*IF($Y$21*$AD$21&gt;=$I$1,1,IF($Y$21*$AD$21&gt;=$H$1,0.5,0))*(1+IF($N$21=$D$1,IF($Y$21*$AD$21&gt;=$K$1,0,IF($Y$21*$AD$21&gt;=$J$1,0,0)),0))*$B22*$D22*$E22^(AI$2-1),1),0)</f>
        <v>0</v>
      </c>
    </row>
    <row r="23" spans="1:35" x14ac:dyDescent="0.25">
      <c r="A23" s="58">
        <v>2</v>
      </c>
      <c r="B23" s="60">
        <v>1.1000000000000001</v>
      </c>
      <c r="C23" s="16">
        <v>0</v>
      </c>
      <c r="D23" s="67">
        <f>CEILING(1+MIN(T$21-C23-1,$L$1)+(T$21-C23-1-MIN(T$21-C23-1,$L$1))/$M$1,1)</f>
        <v>16</v>
      </c>
      <c r="E23" s="63">
        <f>MAX(($G$1/($F$1*D23))^(1/(ROUNDUP(D23/3,)-1)),2/3)</f>
        <v>0.66666666666666663</v>
      </c>
      <c r="F23" s="47">
        <f>IF(CEILING($B23*$D23/3,1)&gt;=F$2,CEILING($F$1*IF($Y$21*$AD$21&gt;=$I$1,1,IF($Y$21*$AD$21&gt;=$H$1,0.5,0))*(1+IF($N$21=$D$1,IF($Y$21*$AD$21&gt;=$K$1,0,IF($Y$21*$AD$21&gt;=$J$1,0,0)),0))*$B23*$D23*$E23^(F$2-1),1),0)</f>
        <v>27</v>
      </c>
      <c r="G23" s="47">
        <f>IF(CEILING($B23*$D23/3,1)&gt;=G$2,CEILING($F$1*IF($Y$21*$AD$21&gt;=$I$1,1,IF($Y$21*$AD$21&gt;=$H$1,0.5,0))*(1+IF($N$21=$D$1,IF($Y$21*$AD$21&gt;=$K$1,0,IF($Y$21*$AD$21&gt;=$J$1,0,0)),0))*$B23*$D23*$E23^(G$2-1),1),0)</f>
        <v>18</v>
      </c>
      <c r="H23" s="47">
        <f>IF(CEILING($B23*$D23/3,1)&gt;=H$2,CEILING($F$1*IF($Y$21*$AD$21&gt;=$I$1,1,IF($Y$21*$AD$21&gt;=$H$1,0.5,0))*(1+IF($N$21=$D$1,IF($Y$21*$AD$21&gt;=$K$1,0,IF($Y$21*$AD$21&gt;=$J$1,0,0)),0))*$B23*$D23*$E23^(H$2-1),1),0)</f>
        <v>12</v>
      </c>
      <c r="I23" s="47">
        <f>IF(CEILING($B23*$D23/3,1)&gt;=I$2,CEILING($F$1*IF($Y$21*$AD$21&gt;=$I$1,1,IF($Y$21*$AD$21&gt;=$H$1,0.5,0))*(1+IF($N$21=$D$1,IF($Y$21*$AD$21&gt;=$K$1,0,IF($Y$21*$AD$21&gt;=$J$1,0,0)),0))*$B23*$D23*$E23^(I$2-1),1),0)</f>
        <v>8</v>
      </c>
      <c r="J23" s="47">
        <f>IF(CEILING($B23*$D23/3,1)&gt;=J$2,CEILING($F$1*IF($Y$21*$AD$21&gt;=$I$1,1,IF($Y$21*$AD$21&gt;=$H$1,0.5,0))*(1+IF($N$21=$D$1,IF($Y$21*$AD$21&gt;=$K$1,0,IF($Y$21*$AD$21&gt;=$J$1,0,0)),0))*$B23*$D23*$E23^(J$2-1),1),0)</f>
        <v>6</v>
      </c>
      <c r="K23" s="47">
        <f>IF(CEILING($B23*$D23/3,1)&gt;=K$2,CEILING($F$1*IF($Y$21*$AD$21&gt;=$I$1,1,IF($Y$21*$AD$21&gt;=$H$1,0.5,0))*(1+IF($N$21=$D$1,IF($Y$21*$AD$21&gt;=$K$1,0,IF($Y$21*$AD$21&gt;=$J$1,0,0)),0))*$B23*$D23*$E23^(K$2-1),1),0)</f>
        <v>4</v>
      </c>
      <c r="L23" s="47">
        <f>IF(CEILING($B23*$D23/3,1)&gt;=L$2,CEILING($F$1*IF($Y$21*$AD$21&gt;=$I$1,1,IF($Y$21*$AD$21&gt;=$H$1,0.5,0))*(1+IF($N$21=$D$1,IF($Y$21*$AD$21&gt;=$K$1,0,IF($Y$21*$AD$21&gt;=$J$1,0,0)),0))*$B23*$D23*$E23^(L$2-1),1),0)</f>
        <v>0</v>
      </c>
      <c r="M23" s="47">
        <f>IF(CEILING($B23*$D23/3,1)&gt;=M$2,CEILING($F$1*IF($Y$21*$AD$21&gt;=$I$1,1,IF($Y$21*$AD$21&gt;=$H$1,0.5,0))*(1+IF($N$21=$D$1,IF($Y$21*$AD$21&gt;=$K$1,0,IF($Y$21*$AD$21&gt;=$J$1,0,0)),0))*$B23*$D23*$E23^(M$2-1),1),0)</f>
        <v>0</v>
      </c>
      <c r="N23" s="47">
        <f>IF(CEILING($B23*$D23/3,1)&gt;=N$2,CEILING($F$1*IF($Y$21*$AD$21&gt;=$I$1,1,IF($Y$21*$AD$21&gt;=$H$1,0.5,0))*(1+IF($N$21=$D$1,IF($Y$21*$AD$21&gt;=$K$1,0,IF($Y$21*$AD$21&gt;=$J$1,0,0)),0))*$B23*$D23*$E23^(N$2-1),1),0)</f>
        <v>0</v>
      </c>
      <c r="O23" s="47">
        <f>IF(CEILING($B23*$D23/3,1)&gt;=O$2,CEILING($F$1*IF($Y$21*$AD$21&gt;=$I$1,1,IF($Y$21*$AD$21&gt;=$H$1,0.5,0))*(1+IF($N$21=$D$1,IF($Y$21*$AD$21&gt;=$K$1,0,IF($Y$21*$AD$21&gt;=$J$1,0,0)),0))*$B23*$D23*$E23^(O$2-1),1),0)</f>
        <v>0</v>
      </c>
      <c r="P23" s="47">
        <f>IF(CEILING($B23*$D23/3,1)&gt;=P$2,CEILING($F$1*IF($Y$21*$AD$21&gt;=$I$1,1,IF($Y$21*$AD$21&gt;=$H$1,0.5,0))*(1+IF($N$21=$D$1,IF($Y$21*$AD$21&gt;=$K$1,0,IF($Y$21*$AD$21&gt;=$J$1,0,0)),0))*$B23*$D23*$E23^(P$2-1),1),0)</f>
        <v>0</v>
      </c>
      <c r="Q23" s="47">
        <f>IF(CEILING($B23*$D23/3,1)&gt;=Q$2,CEILING($F$1*IF($Y$21*$AD$21&gt;=$I$1,1,IF($Y$21*$AD$21&gt;=$H$1,0.5,0))*(1+IF($N$21=$D$1,IF($Y$21*$AD$21&gt;=$K$1,0,IF($Y$21*$AD$21&gt;=$J$1,0,0)),0))*$B23*$D23*$E23^(Q$2-1),1),0)</f>
        <v>0</v>
      </c>
      <c r="R23" s="47">
        <f>IF(CEILING($B23*$D23/3,1)&gt;=R$2,CEILING($F$1*IF($Y$21*$AD$21&gt;=$I$1,1,IF($Y$21*$AD$21&gt;=$H$1,0.5,0))*(1+IF($N$21=$D$1,IF($Y$21*$AD$21&gt;=$K$1,0,IF($Y$21*$AD$21&gt;=$J$1,0,0)),0))*$B23*$D23*$E23^(R$2-1),1),0)</f>
        <v>0</v>
      </c>
      <c r="S23" s="47">
        <f>IF(CEILING($B23*$D23/3,1)&gt;=S$2,CEILING($F$1*IF($Y$21*$AD$21&gt;=$I$1,1,IF($Y$21*$AD$21&gt;=$H$1,0.5,0))*(1+IF($N$21=$D$1,IF($Y$21*$AD$21&gt;=$K$1,0,IF($Y$21*$AD$21&gt;=$J$1,0,0)),0))*$B23*$D23*$E23^(S$2-1),1),0)</f>
        <v>0</v>
      </c>
      <c r="T23" s="47">
        <f>IF(CEILING($B23*$D23/3,1)&gt;=T$2,CEILING($F$1*IF($Y$21*$AD$21&gt;=$I$1,1,IF($Y$21*$AD$21&gt;=$H$1,0.5,0))*(1+IF($N$21=$D$1,IF($Y$21*$AD$21&gt;=$K$1,0,IF($Y$21*$AD$21&gt;=$J$1,0,0)),0))*$B23*$D23*$E23^(T$2-1),1),0)</f>
        <v>0</v>
      </c>
      <c r="U23" s="47">
        <f>IF(CEILING($B23*$D23/3,1)&gt;=U$2,CEILING($F$1*IF($Y$21*$AD$21&gt;=$I$1,1,IF($Y$21*$AD$21&gt;=$H$1,0.5,0))*(1+IF($N$21=$D$1,IF($Y$21*$AD$21&gt;=$K$1,0,IF($Y$21*$AD$21&gt;=$J$1,0,0)),0))*$B23*$D23*$E23^(U$2-1),1),0)</f>
        <v>0</v>
      </c>
      <c r="V23" s="47">
        <f>IF(CEILING($B23*$D23/3,1)&gt;=V$2,CEILING($F$1*IF($Y$21*$AD$21&gt;=$I$1,1,IF($Y$21*$AD$21&gt;=$H$1,0.5,0))*(1+IF($N$21=$D$1,IF($Y$21*$AD$21&gt;=$K$1,0,IF($Y$21*$AD$21&gt;=$J$1,0,0)),0))*$B23*$D23*$E23^(V$2-1),1),0)</f>
        <v>0</v>
      </c>
      <c r="W23" s="47">
        <f>IF(CEILING($B23*$D23/3,1)&gt;=W$2,CEILING($F$1*IF($Y$21*$AD$21&gt;=$I$1,1,IF($Y$21*$AD$21&gt;=$H$1,0.5,0))*(1+IF($N$21=$D$1,IF($Y$21*$AD$21&gt;=$K$1,0,IF($Y$21*$AD$21&gt;=$J$1,0,0)),0))*$B23*$D23*$E23^(W$2-1),1),0)</f>
        <v>0</v>
      </c>
      <c r="X23" s="47">
        <f>IF(CEILING($B23*$D23/3,1)&gt;=X$2,CEILING($F$1*IF($Y$21*$AD$21&gt;=$I$1,1,IF($Y$21*$AD$21&gt;=$H$1,0.5,0))*(1+IF($N$21=$D$1,IF($Y$21*$AD$21&gt;=$K$1,0,IF($Y$21*$AD$21&gt;=$J$1,0,0)),0))*$B23*$D23*$E23^(X$2-1),1),0)</f>
        <v>0</v>
      </c>
      <c r="Y23" s="47">
        <f>IF(CEILING($B23*$D23/3,1)&gt;=Y$2,CEILING($F$1*IF($Y$21*$AD$21&gt;=$I$1,1,IF($Y$21*$AD$21&gt;=$H$1,0.5,0))*(1+IF($N$21=$D$1,IF($Y$21*$AD$21&gt;=$K$1,0,IF($Y$21*$AD$21&gt;=$J$1,0,0)),0))*$B23*$D23*$E23^(Y$2-1),1),0)</f>
        <v>0</v>
      </c>
      <c r="Z23" s="47">
        <f>IF(CEILING($B23*$D23/3,1)&gt;=Z$2,CEILING($F$1*IF($Y$21*$AD$21&gt;=$I$1,1,IF($Y$21*$AD$21&gt;=$H$1,0.5,0))*(1+IF($N$21=$D$1,IF($Y$21*$AD$21&gt;=$K$1,0,IF($Y$21*$AD$21&gt;=$J$1,0,0)),0))*$B23*$D23*$E23^(Z$2-1),1),0)</f>
        <v>0</v>
      </c>
      <c r="AA23" s="47">
        <f>IF(CEILING($B23*$D23/3,1)&gt;=AA$2,CEILING($F$1*IF($Y$21*$AD$21&gt;=$I$1,1,IF($Y$21*$AD$21&gt;=$H$1,0.5,0))*(1+IF($N$21=$D$1,IF($Y$21*$AD$21&gt;=$K$1,0,IF($Y$21*$AD$21&gt;=$J$1,0,0)),0))*$B23*$D23*$E23^(AA$2-1),1),0)</f>
        <v>0</v>
      </c>
      <c r="AB23" s="47">
        <f>IF(CEILING($B23*$D23/3,1)&gt;=AB$2,CEILING($F$1*IF($Y$21*$AD$21&gt;=$I$1,1,IF($Y$21*$AD$21&gt;=$H$1,0.5,0))*(1+IF($N$21=$D$1,IF($Y$21*$AD$21&gt;=$K$1,0,IF($Y$21*$AD$21&gt;=$J$1,0,0)),0))*$B23*$D23*$E23^(AB$2-1),1),0)</f>
        <v>0</v>
      </c>
      <c r="AC23" s="47">
        <f>IF(CEILING($B23*$D23/3,1)&gt;=AC$2,CEILING($F$1*IF($Y$21*$AD$21&gt;=$I$1,1,IF($Y$21*$AD$21&gt;=$H$1,0.5,0))*(1+IF($N$21=$D$1,IF($Y$21*$AD$21&gt;=$K$1,0,IF($Y$21*$AD$21&gt;=$J$1,0,0)),0))*$B23*$D23*$E23^(AC$2-1),1),0)</f>
        <v>0</v>
      </c>
      <c r="AD23" s="47">
        <f>IF(CEILING($B23*$D23/3,1)&gt;=AD$2,CEILING($F$1*IF($Y$21*$AD$21&gt;=$I$1,1,IF($Y$21*$AD$21&gt;=$H$1,0.5,0))*(1+IF($N$21=$D$1,IF($Y$21*$AD$21&gt;=$K$1,0,IF($Y$21*$AD$21&gt;=$J$1,0,0)),0))*$B23*$D23*$E23^(AD$2-1),1),0)</f>
        <v>0</v>
      </c>
      <c r="AE23" s="47">
        <f>IF(CEILING($B23*$D23/3,1)&gt;=AE$2,CEILING($F$1*IF($Y$21*$AD$21&gt;=$I$1,1,IF($Y$21*$AD$21&gt;=$H$1,0.5,0))*(1+IF($N$21=$D$1,IF($Y$21*$AD$21&gt;=$K$1,0,IF($Y$21*$AD$21&gt;=$J$1,0,0)),0))*$B23*$D23*$E23^(AE$2-1),1),0)</f>
        <v>0</v>
      </c>
      <c r="AF23" s="47">
        <f>IF(CEILING($B23*$D23/3,1)&gt;=AF$2,CEILING($F$1*IF($Y$21*$AD$21&gt;=$I$1,1,IF($Y$21*$AD$21&gt;=$H$1,0.5,0))*(1+IF($N$21=$D$1,IF($Y$21*$AD$21&gt;=$K$1,0,IF($Y$21*$AD$21&gt;=$J$1,0,0)),0))*$B23*$D23*$E23^(AF$2-1),1),0)</f>
        <v>0</v>
      </c>
      <c r="AG23" s="47">
        <f>IF(CEILING($B23*$D23/3,1)&gt;=AG$2,CEILING($F$1*IF($Y$21*$AD$21&gt;=$I$1,1,IF($Y$21*$AD$21&gt;=$H$1,0.5,0))*(1+IF($N$21=$D$1,IF($Y$21*$AD$21&gt;=$K$1,0,IF($Y$21*$AD$21&gt;=$J$1,0,0)),0))*$B23*$D23*$E23^(AG$2-1),1),0)</f>
        <v>0</v>
      </c>
      <c r="AH23" s="47">
        <f>IF(CEILING($B23*$D23/3,1)&gt;=AH$2,CEILING($F$1*IF($Y$21*$AD$21&gt;=$I$1,1,IF($Y$21*$AD$21&gt;=$H$1,0.5,0))*(1+IF($N$21=$D$1,IF($Y$21*$AD$21&gt;=$K$1,0,IF($Y$21*$AD$21&gt;=$J$1,0,0)),0))*$B23*$D23*$E23^(AH$2-1),1),0)</f>
        <v>0</v>
      </c>
      <c r="AI23" s="48">
        <f>IF(CEILING($B23*$D23/3,1)&gt;=AI$2,CEILING($F$1*IF($Y$21*$AD$21&gt;=$I$1,1,IF($Y$21*$AD$21&gt;=$H$1,0.5,0))*(1+IF($N$21=$D$1,IF($Y$21*$AD$21&gt;=$K$1,0,IF($Y$21*$AD$21&gt;=$J$1,0,0)),0))*$B23*$D23*$E23^(AI$2-1),1),0)</f>
        <v>0</v>
      </c>
    </row>
    <row r="24" spans="1:35" x14ac:dyDescent="0.25">
      <c r="A24" s="58">
        <v>3</v>
      </c>
      <c r="B24" s="60">
        <v>1</v>
      </c>
      <c r="C24" s="16">
        <v>0</v>
      </c>
      <c r="D24" s="67">
        <f>CEILING(1+MIN(T$21-C24-1,$L$1)+(T$21-C24-1-MIN(T$21-C24-1,$L$1))/$M$1,1)</f>
        <v>16</v>
      </c>
      <c r="E24" s="63">
        <f>MAX(($G$1/($F$1*D24))^(1/(ROUNDUP(D24/3,)-1)),2/3)</f>
        <v>0.66666666666666663</v>
      </c>
      <c r="F24" s="47">
        <f>IF(CEILING($B24*$D24/3,1)&gt;=F$2,CEILING($F$1*IF($Y$21*$AD$21&gt;=$I$1,1,IF($Y$21*$AD$21&gt;=$H$1,0.5,0))*(1+IF($N$21=$D$1,IF($Y$21*$AD$21&gt;=$K$1,0,IF($Y$21*$AD$21&gt;=$J$1,0,0)),0))*$B24*$D24*$E24^(F$2-1),1),0)</f>
        <v>24</v>
      </c>
      <c r="G24" s="47">
        <f>IF(CEILING($B24*$D24/3,1)&gt;=G$2,CEILING($F$1*IF($Y$21*$AD$21&gt;=$I$1,1,IF($Y$21*$AD$21&gt;=$H$1,0.5,0))*(1+IF($N$21=$D$1,IF($Y$21*$AD$21&gt;=$K$1,0,IF($Y$21*$AD$21&gt;=$J$1,0,0)),0))*$B24*$D24*$E24^(G$2-1),1),0)</f>
        <v>16</v>
      </c>
      <c r="H24" s="47">
        <f>IF(CEILING($B24*$D24/3,1)&gt;=H$2,CEILING($F$1*IF($Y$21*$AD$21&gt;=$I$1,1,IF($Y$21*$AD$21&gt;=$H$1,0.5,0))*(1+IF($N$21=$D$1,IF($Y$21*$AD$21&gt;=$K$1,0,IF($Y$21*$AD$21&gt;=$J$1,0,0)),0))*$B24*$D24*$E24^(H$2-1),1),0)</f>
        <v>11</v>
      </c>
      <c r="I24" s="47">
        <f>IF(CEILING($B24*$D24/3,1)&gt;=I$2,CEILING($F$1*IF($Y$21*$AD$21&gt;=$I$1,1,IF($Y$21*$AD$21&gt;=$H$1,0.5,0))*(1+IF($N$21=$D$1,IF($Y$21*$AD$21&gt;=$K$1,0,IF($Y$21*$AD$21&gt;=$J$1,0,0)),0))*$B24*$D24*$E24^(I$2-1),1),0)</f>
        <v>8</v>
      </c>
      <c r="J24" s="47">
        <f>IF(CEILING($B24*$D24/3,1)&gt;=J$2,CEILING($F$1*IF($Y$21*$AD$21&gt;=$I$1,1,IF($Y$21*$AD$21&gt;=$H$1,0.5,0))*(1+IF($N$21=$D$1,IF($Y$21*$AD$21&gt;=$K$1,0,IF($Y$21*$AD$21&gt;=$J$1,0,0)),0))*$B24*$D24*$E24^(J$2-1),1),0)</f>
        <v>5</v>
      </c>
      <c r="K24" s="47">
        <f>IF(CEILING($B24*$D24/3,1)&gt;=K$2,CEILING($F$1*IF($Y$21*$AD$21&gt;=$I$1,1,IF($Y$21*$AD$21&gt;=$H$1,0.5,0))*(1+IF($N$21=$D$1,IF($Y$21*$AD$21&gt;=$K$1,0,IF($Y$21*$AD$21&gt;=$J$1,0,0)),0))*$B24*$D24*$E24^(K$2-1),1),0)</f>
        <v>4</v>
      </c>
      <c r="L24" s="47">
        <f>IF(CEILING($B24*$D24/3,1)&gt;=L$2,CEILING($F$1*IF($Y$21*$AD$21&gt;=$I$1,1,IF($Y$21*$AD$21&gt;=$H$1,0.5,0))*(1+IF($N$21=$D$1,IF($Y$21*$AD$21&gt;=$K$1,0,IF($Y$21*$AD$21&gt;=$J$1,0,0)),0))*$B24*$D24*$E24^(L$2-1),1),0)</f>
        <v>0</v>
      </c>
      <c r="M24" s="47">
        <f>IF(CEILING($B24*$D24/3,1)&gt;=M$2,CEILING($F$1*IF($Y$21*$AD$21&gt;=$I$1,1,IF($Y$21*$AD$21&gt;=$H$1,0.5,0))*(1+IF($N$21=$D$1,IF($Y$21*$AD$21&gt;=$K$1,0,IF($Y$21*$AD$21&gt;=$J$1,0,0)),0))*$B24*$D24*$E24^(M$2-1),1),0)</f>
        <v>0</v>
      </c>
      <c r="N24" s="47">
        <f>IF(CEILING($B24*$D24/3,1)&gt;=N$2,CEILING($F$1*IF($Y$21*$AD$21&gt;=$I$1,1,IF($Y$21*$AD$21&gt;=$H$1,0.5,0))*(1+IF($N$21=$D$1,IF($Y$21*$AD$21&gt;=$K$1,0,IF($Y$21*$AD$21&gt;=$J$1,0,0)),0))*$B24*$D24*$E24^(N$2-1),1),0)</f>
        <v>0</v>
      </c>
      <c r="O24" s="47">
        <f>IF(CEILING($B24*$D24/3,1)&gt;=O$2,CEILING($F$1*IF($Y$21*$AD$21&gt;=$I$1,1,IF($Y$21*$AD$21&gt;=$H$1,0.5,0))*(1+IF($N$21=$D$1,IF($Y$21*$AD$21&gt;=$K$1,0,IF($Y$21*$AD$21&gt;=$J$1,0,0)),0))*$B24*$D24*$E24^(O$2-1),1),0)</f>
        <v>0</v>
      </c>
      <c r="P24" s="47">
        <f>IF(CEILING($B24*$D24/3,1)&gt;=P$2,CEILING($F$1*IF($Y$21*$AD$21&gt;=$I$1,1,IF($Y$21*$AD$21&gt;=$H$1,0.5,0))*(1+IF($N$21=$D$1,IF($Y$21*$AD$21&gt;=$K$1,0,IF($Y$21*$AD$21&gt;=$J$1,0,0)),0))*$B24*$D24*$E24^(P$2-1),1),0)</f>
        <v>0</v>
      </c>
      <c r="Q24" s="47">
        <f>IF(CEILING($B24*$D24/3,1)&gt;=Q$2,CEILING($F$1*IF($Y$21*$AD$21&gt;=$I$1,1,IF($Y$21*$AD$21&gt;=$H$1,0.5,0))*(1+IF($N$21=$D$1,IF($Y$21*$AD$21&gt;=$K$1,0,IF($Y$21*$AD$21&gt;=$J$1,0,0)),0))*$B24*$D24*$E24^(Q$2-1),1),0)</f>
        <v>0</v>
      </c>
      <c r="R24" s="47">
        <f>IF(CEILING($B24*$D24/3,1)&gt;=R$2,CEILING($F$1*IF($Y$21*$AD$21&gt;=$I$1,1,IF($Y$21*$AD$21&gt;=$H$1,0.5,0))*(1+IF($N$21=$D$1,IF($Y$21*$AD$21&gt;=$K$1,0,IF($Y$21*$AD$21&gt;=$J$1,0,0)),0))*$B24*$D24*$E24^(R$2-1),1),0)</f>
        <v>0</v>
      </c>
      <c r="S24" s="47">
        <f>IF(CEILING($B24*$D24/3,1)&gt;=S$2,CEILING($F$1*IF($Y$21*$AD$21&gt;=$I$1,1,IF($Y$21*$AD$21&gt;=$H$1,0.5,0))*(1+IF($N$21=$D$1,IF($Y$21*$AD$21&gt;=$K$1,0,IF($Y$21*$AD$21&gt;=$J$1,0,0)),0))*$B24*$D24*$E24^(S$2-1),1),0)</f>
        <v>0</v>
      </c>
      <c r="T24" s="47">
        <f>IF(CEILING($B24*$D24/3,1)&gt;=T$2,CEILING($F$1*IF($Y$21*$AD$21&gt;=$I$1,1,IF($Y$21*$AD$21&gt;=$H$1,0.5,0))*(1+IF($N$21=$D$1,IF($Y$21*$AD$21&gt;=$K$1,0,IF($Y$21*$AD$21&gt;=$J$1,0,0)),0))*$B24*$D24*$E24^(T$2-1),1),0)</f>
        <v>0</v>
      </c>
      <c r="U24" s="47">
        <f>IF(CEILING($B24*$D24/3,1)&gt;=U$2,CEILING($F$1*IF($Y$21*$AD$21&gt;=$I$1,1,IF($Y$21*$AD$21&gt;=$H$1,0.5,0))*(1+IF($N$21=$D$1,IF($Y$21*$AD$21&gt;=$K$1,0,IF($Y$21*$AD$21&gt;=$J$1,0,0)),0))*$B24*$D24*$E24^(U$2-1),1),0)</f>
        <v>0</v>
      </c>
      <c r="V24" s="47">
        <f>IF(CEILING($B24*$D24/3,1)&gt;=V$2,CEILING($F$1*IF($Y$21*$AD$21&gt;=$I$1,1,IF($Y$21*$AD$21&gt;=$H$1,0.5,0))*(1+IF($N$21=$D$1,IF($Y$21*$AD$21&gt;=$K$1,0,IF($Y$21*$AD$21&gt;=$J$1,0,0)),0))*$B24*$D24*$E24^(V$2-1),1),0)</f>
        <v>0</v>
      </c>
      <c r="W24" s="47">
        <f>IF(CEILING($B24*$D24/3,1)&gt;=W$2,CEILING($F$1*IF($Y$21*$AD$21&gt;=$I$1,1,IF($Y$21*$AD$21&gt;=$H$1,0.5,0))*(1+IF($N$21=$D$1,IF($Y$21*$AD$21&gt;=$K$1,0,IF($Y$21*$AD$21&gt;=$J$1,0,0)),0))*$B24*$D24*$E24^(W$2-1),1),0)</f>
        <v>0</v>
      </c>
      <c r="X24" s="47">
        <f>IF(CEILING($B24*$D24/3,1)&gt;=X$2,CEILING($F$1*IF($Y$21*$AD$21&gt;=$I$1,1,IF($Y$21*$AD$21&gt;=$H$1,0.5,0))*(1+IF($N$21=$D$1,IF($Y$21*$AD$21&gt;=$K$1,0,IF($Y$21*$AD$21&gt;=$J$1,0,0)),0))*$B24*$D24*$E24^(X$2-1),1),0)</f>
        <v>0</v>
      </c>
      <c r="Y24" s="47">
        <f>IF(CEILING($B24*$D24/3,1)&gt;=Y$2,CEILING($F$1*IF($Y$21*$AD$21&gt;=$I$1,1,IF($Y$21*$AD$21&gt;=$H$1,0.5,0))*(1+IF($N$21=$D$1,IF($Y$21*$AD$21&gt;=$K$1,0,IF($Y$21*$AD$21&gt;=$J$1,0,0)),0))*$B24*$D24*$E24^(Y$2-1),1),0)</f>
        <v>0</v>
      </c>
      <c r="Z24" s="47">
        <f>IF(CEILING($B24*$D24/3,1)&gt;=Z$2,CEILING($F$1*IF($Y$21*$AD$21&gt;=$I$1,1,IF($Y$21*$AD$21&gt;=$H$1,0.5,0))*(1+IF($N$21=$D$1,IF($Y$21*$AD$21&gt;=$K$1,0,IF($Y$21*$AD$21&gt;=$J$1,0,0)),0))*$B24*$D24*$E24^(Z$2-1),1),0)</f>
        <v>0</v>
      </c>
      <c r="AA24" s="47">
        <f>IF(CEILING($B24*$D24/3,1)&gt;=AA$2,CEILING($F$1*IF($Y$21*$AD$21&gt;=$I$1,1,IF($Y$21*$AD$21&gt;=$H$1,0.5,0))*(1+IF($N$21=$D$1,IF($Y$21*$AD$21&gt;=$K$1,0,IF($Y$21*$AD$21&gt;=$J$1,0,0)),0))*$B24*$D24*$E24^(AA$2-1),1),0)</f>
        <v>0</v>
      </c>
      <c r="AB24" s="47">
        <f>IF(CEILING($B24*$D24/3,1)&gt;=AB$2,CEILING($F$1*IF($Y$21*$AD$21&gt;=$I$1,1,IF($Y$21*$AD$21&gt;=$H$1,0.5,0))*(1+IF($N$21=$D$1,IF($Y$21*$AD$21&gt;=$K$1,0,IF($Y$21*$AD$21&gt;=$J$1,0,0)),0))*$B24*$D24*$E24^(AB$2-1),1),0)</f>
        <v>0</v>
      </c>
      <c r="AC24" s="47">
        <f>IF(CEILING($B24*$D24/3,1)&gt;=AC$2,CEILING($F$1*IF($Y$21*$AD$21&gt;=$I$1,1,IF($Y$21*$AD$21&gt;=$H$1,0.5,0))*(1+IF($N$21=$D$1,IF($Y$21*$AD$21&gt;=$K$1,0,IF($Y$21*$AD$21&gt;=$J$1,0,0)),0))*$B24*$D24*$E24^(AC$2-1),1),0)</f>
        <v>0</v>
      </c>
      <c r="AD24" s="47">
        <f>IF(CEILING($B24*$D24/3,1)&gt;=AD$2,CEILING($F$1*IF($Y$21*$AD$21&gt;=$I$1,1,IF($Y$21*$AD$21&gt;=$H$1,0.5,0))*(1+IF($N$21=$D$1,IF($Y$21*$AD$21&gt;=$K$1,0,IF($Y$21*$AD$21&gt;=$J$1,0,0)),0))*$B24*$D24*$E24^(AD$2-1),1),0)</f>
        <v>0</v>
      </c>
      <c r="AE24" s="47">
        <f>IF(CEILING($B24*$D24/3,1)&gt;=AE$2,CEILING($F$1*IF($Y$21*$AD$21&gt;=$I$1,1,IF($Y$21*$AD$21&gt;=$H$1,0.5,0))*(1+IF($N$21=$D$1,IF($Y$21*$AD$21&gt;=$K$1,0,IF($Y$21*$AD$21&gt;=$J$1,0,0)),0))*$B24*$D24*$E24^(AE$2-1),1),0)</f>
        <v>0</v>
      </c>
      <c r="AF24" s="47">
        <f>IF(CEILING($B24*$D24/3,1)&gt;=AF$2,CEILING($F$1*IF($Y$21*$AD$21&gt;=$I$1,1,IF($Y$21*$AD$21&gt;=$H$1,0.5,0))*(1+IF($N$21=$D$1,IF($Y$21*$AD$21&gt;=$K$1,0,IF($Y$21*$AD$21&gt;=$J$1,0,0)),0))*$B24*$D24*$E24^(AF$2-1),1),0)</f>
        <v>0</v>
      </c>
      <c r="AG24" s="47">
        <f>IF(CEILING($B24*$D24/3,1)&gt;=AG$2,CEILING($F$1*IF($Y$21*$AD$21&gt;=$I$1,1,IF($Y$21*$AD$21&gt;=$H$1,0.5,0))*(1+IF($N$21=$D$1,IF($Y$21*$AD$21&gt;=$K$1,0,IF($Y$21*$AD$21&gt;=$J$1,0,0)),0))*$B24*$D24*$E24^(AG$2-1),1),0)</f>
        <v>0</v>
      </c>
      <c r="AH24" s="47">
        <f>IF(CEILING($B24*$D24/3,1)&gt;=AH$2,CEILING($F$1*IF($Y$21*$AD$21&gt;=$I$1,1,IF($Y$21*$AD$21&gt;=$H$1,0.5,0))*(1+IF($N$21=$D$1,IF($Y$21*$AD$21&gt;=$K$1,0,IF($Y$21*$AD$21&gt;=$J$1,0,0)),0))*$B24*$D24*$E24^(AH$2-1),1),0)</f>
        <v>0</v>
      </c>
      <c r="AI24" s="48">
        <f>IF(CEILING($B24*$D24/3,1)&gt;=AI$2,CEILING($F$1*IF($Y$21*$AD$21&gt;=$I$1,1,IF($Y$21*$AD$21&gt;=$H$1,0.5,0))*(1+IF($N$21=$D$1,IF($Y$21*$AD$21&gt;=$K$1,0,IF($Y$21*$AD$21&gt;=$J$1,0,0)),0))*$B24*$D24*$E24^(AI$2-1),1),0)</f>
        <v>0</v>
      </c>
    </row>
    <row r="25" spans="1:35" x14ac:dyDescent="0.25">
      <c r="A25" s="58">
        <v>4</v>
      </c>
      <c r="B25" s="60">
        <v>0.9</v>
      </c>
      <c r="C25" s="16">
        <v>0</v>
      </c>
      <c r="D25" s="67">
        <f>CEILING(1+MIN(T$21-C25-1,$L$1)+(T$21-C25-1-MIN(T$21-C25-1,$L$1))/$M$1,1)</f>
        <v>16</v>
      </c>
      <c r="E25" s="63">
        <f>MAX(($G$1/($F$1*D25))^(1/(ROUNDUP(D25/3,)-1)),2/3)</f>
        <v>0.66666666666666663</v>
      </c>
      <c r="F25" s="47">
        <f>IF(CEILING($B25*$D25/3,1)&gt;=F$2,CEILING($F$1*IF($Y$21*$AD$21&gt;=$I$1,1,IF($Y$21*$AD$21&gt;=$H$1,0.5,0))*(1+IF($N$21=$D$1,IF($Y$21*$AD$21&gt;=$K$1,0,IF($Y$21*$AD$21&gt;=$J$1,0,0)),0))*$B25*$D25*$E25^(F$2-1),1),0)</f>
        <v>22</v>
      </c>
      <c r="G25" s="47">
        <f>IF(CEILING($B25*$D25/3,1)&gt;=G$2,CEILING($F$1*IF($Y$21*$AD$21&gt;=$I$1,1,IF($Y$21*$AD$21&gt;=$H$1,0.5,0))*(1+IF($N$21=$D$1,IF($Y$21*$AD$21&gt;=$K$1,0,IF($Y$21*$AD$21&gt;=$J$1,0,0)),0))*$B25*$D25*$E25^(G$2-1),1),0)</f>
        <v>15</v>
      </c>
      <c r="H25" s="47">
        <f>IF(CEILING($B25*$D25/3,1)&gt;=H$2,CEILING($F$1*IF($Y$21*$AD$21&gt;=$I$1,1,IF($Y$21*$AD$21&gt;=$H$1,0.5,0))*(1+IF($N$21=$D$1,IF($Y$21*$AD$21&gt;=$K$1,0,IF($Y$21*$AD$21&gt;=$J$1,0,0)),0))*$B25*$D25*$E25^(H$2-1),1),0)</f>
        <v>10</v>
      </c>
      <c r="I25" s="47">
        <f>IF(CEILING($B25*$D25/3,1)&gt;=I$2,CEILING($F$1*IF($Y$21*$AD$21&gt;=$I$1,1,IF($Y$21*$AD$21&gt;=$H$1,0.5,0))*(1+IF($N$21=$D$1,IF($Y$21*$AD$21&gt;=$K$1,0,IF($Y$21*$AD$21&gt;=$J$1,0,0)),0))*$B25*$D25*$E25^(I$2-1),1),0)</f>
        <v>7</v>
      </c>
      <c r="J25" s="47">
        <f>IF(CEILING($B25*$D25/3,1)&gt;=J$2,CEILING($F$1*IF($Y$21*$AD$21&gt;=$I$1,1,IF($Y$21*$AD$21&gt;=$H$1,0.5,0))*(1+IF($N$21=$D$1,IF($Y$21*$AD$21&gt;=$K$1,0,IF($Y$21*$AD$21&gt;=$J$1,0,0)),0))*$B25*$D25*$E25^(J$2-1),1),0)</f>
        <v>5</v>
      </c>
      <c r="K25" s="47">
        <f>IF(CEILING($B25*$D25/3,1)&gt;=K$2,CEILING($F$1*IF($Y$21*$AD$21&gt;=$I$1,1,IF($Y$21*$AD$21&gt;=$H$1,0.5,0))*(1+IF($N$21=$D$1,IF($Y$21*$AD$21&gt;=$K$1,0,IF($Y$21*$AD$21&gt;=$J$1,0,0)),0))*$B25*$D25*$E25^(K$2-1),1),0)</f>
        <v>0</v>
      </c>
      <c r="L25" s="47">
        <f>IF(CEILING($B25*$D25/3,1)&gt;=L$2,CEILING($F$1*IF($Y$21*$AD$21&gt;=$I$1,1,IF($Y$21*$AD$21&gt;=$H$1,0.5,0))*(1+IF($N$21=$D$1,IF($Y$21*$AD$21&gt;=$K$1,0,IF($Y$21*$AD$21&gt;=$J$1,0,0)),0))*$B25*$D25*$E25^(L$2-1),1),0)</f>
        <v>0</v>
      </c>
      <c r="M25" s="47">
        <f>IF(CEILING($B25*$D25/3,1)&gt;=M$2,CEILING($F$1*IF($Y$21*$AD$21&gt;=$I$1,1,IF($Y$21*$AD$21&gt;=$H$1,0.5,0))*(1+IF($N$21=$D$1,IF($Y$21*$AD$21&gt;=$K$1,0,IF($Y$21*$AD$21&gt;=$J$1,0,0)),0))*$B25*$D25*$E25^(M$2-1),1),0)</f>
        <v>0</v>
      </c>
      <c r="N25" s="47">
        <f>IF(CEILING($B25*$D25/3,1)&gt;=N$2,CEILING($F$1*IF($Y$21*$AD$21&gt;=$I$1,1,IF($Y$21*$AD$21&gt;=$H$1,0.5,0))*(1+IF($N$21=$D$1,IF($Y$21*$AD$21&gt;=$K$1,0,IF($Y$21*$AD$21&gt;=$J$1,0,0)),0))*$B25*$D25*$E25^(N$2-1),1),0)</f>
        <v>0</v>
      </c>
      <c r="O25" s="47">
        <f>IF(CEILING($B25*$D25/3,1)&gt;=O$2,CEILING($F$1*IF($Y$21*$AD$21&gt;=$I$1,1,IF($Y$21*$AD$21&gt;=$H$1,0.5,0))*(1+IF($N$21=$D$1,IF($Y$21*$AD$21&gt;=$K$1,0,IF($Y$21*$AD$21&gt;=$J$1,0,0)),0))*$B25*$D25*$E25^(O$2-1),1),0)</f>
        <v>0</v>
      </c>
      <c r="P25" s="47">
        <f>IF(CEILING($B25*$D25/3,1)&gt;=P$2,CEILING($F$1*IF($Y$21*$AD$21&gt;=$I$1,1,IF($Y$21*$AD$21&gt;=$H$1,0.5,0))*(1+IF($N$21=$D$1,IF($Y$21*$AD$21&gt;=$K$1,0,IF($Y$21*$AD$21&gt;=$J$1,0,0)),0))*$B25*$D25*$E25^(P$2-1),1),0)</f>
        <v>0</v>
      </c>
      <c r="Q25" s="47">
        <f>IF(CEILING($B25*$D25/3,1)&gt;=Q$2,CEILING($F$1*IF($Y$21*$AD$21&gt;=$I$1,1,IF($Y$21*$AD$21&gt;=$H$1,0.5,0))*(1+IF($N$21=$D$1,IF($Y$21*$AD$21&gt;=$K$1,0,IF($Y$21*$AD$21&gt;=$J$1,0,0)),0))*$B25*$D25*$E25^(Q$2-1),1),0)</f>
        <v>0</v>
      </c>
      <c r="R25" s="47">
        <f>IF(CEILING($B25*$D25/3,1)&gt;=R$2,CEILING($F$1*IF($Y$21*$AD$21&gt;=$I$1,1,IF($Y$21*$AD$21&gt;=$H$1,0.5,0))*(1+IF($N$21=$D$1,IF($Y$21*$AD$21&gt;=$K$1,0,IF($Y$21*$AD$21&gt;=$J$1,0,0)),0))*$B25*$D25*$E25^(R$2-1),1),0)</f>
        <v>0</v>
      </c>
      <c r="S25" s="47">
        <f>IF(CEILING($B25*$D25/3,1)&gt;=S$2,CEILING($F$1*IF($Y$21*$AD$21&gt;=$I$1,1,IF($Y$21*$AD$21&gt;=$H$1,0.5,0))*(1+IF($N$21=$D$1,IF($Y$21*$AD$21&gt;=$K$1,0,IF($Y$21*$AD$21&gt;=$J$1,0,0)),0))*$B25*$D25*$E25^(S$2-1),1),0)</f>
        <v>0</v>
      </c>
      <c r="T25" s="47">
        <f>IF(CEILING($B25*$D25/3,1)&gt;=T$2,CEILING($F$1*IF($Y$21*$AD$21&gt;=$I$1,1,IF($Y$21*$AD$21&gt;=$H$1,0.5,0))*(1+IF($N$21=$D$1,IF($Y$21*$AD$21&gt;=$K$1,0,IF($Y$21*$AD$21&gt;=$J$1,0,0)),0))*$B25*$D25*$E25^(T$2-1),1),0)</f>
        <v>0</v>
      </c>
      <c r="U25" s="47">
        <f>IF(CEILING($B25*$D25/3,1)&gt;=U$2,CEILING($F$1*IF($Y$21*$AD$21&gt;=$I$1,1,IF($Y$21*$AD$21&gt;=$H$1,0.5,0))*(1+IF($N$21=$D$1,IF($Y$21*$AD$21&gt;=$K$1,0,IF($Y$21*$AD$21&gt;=$J$1,0,0)),0))*$B25*$D25*$E25^(U$2-1),1),0)</f>
        <v>0</v>
      </c>
      <c r="V25" s="47">
        <f>IF(CEILING($B25*$D25/3,1)&gt;=V$2,CEILING($F$1*IF($Y$21*$AD$21&gt;=$I$1,1,IF($Y$21*$AD$21&gt;=$H$1,0.5,0))*(1+IF($N$21=$D$1,IF($Y$21*$AD$21&gt;=$K$1,0,IF($Y$21*$AD$21&gt;=$J$1,0,0)),0))*$B25*$D25*$E25^(V$2-1),1),0)</f>
        <v>0</v>
      </c>
      <c r="W25" s="47">
        <f>IF(CEILING($B25*$D25/3,1)&gt;=W$2,CEILING($F$1*IF($Y$21*$AD$21&gt;=$I$1,1,IF($Y$21*$AD$21&gt;=$H$1,0.5,0))*(1+IF($N$21=$D$1,IF($Y$21*$AD$21&gt;=$K$1,0,IF($Y$21*$AD$21&gt;=$J$1,0,0)),0))*$B25*$D25*$E25^(W$2-1),1),0)</f>
        <v>0</v>
      </c>
      <c r="X25" s="47">
        <f>IF(CEILING($B25*$D25/3,1)&gt;=X$2,CEILING($F$1*IF($Y$21*$AD$21&gt;=$I$1,1,IF($Y$21*$AD$21&gt;=$H$1,0.5,0))*(1+IF($N$21=$D$1,IF($Y$21*$AD$21&gt;=$K$1,0,IF($Y$21*$AD$21&gt;=$J$1,0,0)),0))*$B25*$D25*$E25^(X$2-1),1),0)</f>
        <v>0</v>
      </c>
      <c r="Y25" s="47">
        <f>IF(CEILING($B25*$D25/3,1)&gt;=Y$2,CEILING($F$1*IF($Y$21*$AD$21&gt;=$I$1,1,IF($Y$21*$AD$21&gt;=$H$1,0.5,0))*(1+IF($N$21=$D$1,IF($Y$21*$AD$21&gt;=$K$1,0,IF($Y$21*$AD$21&gt;=$J$1,0,0)),0))*$B25*$D25*$E25^(Y$2-1),1),0)</f>
        <v>0</v>
      </c>
      <c r="Z25" s="47">
        <f>IF(CEILING($B25*$D25/3,1)&gt;=Z$2,CEILING($F$1*IF($Y$21*$AD$21&gt;=$I$1,1,IF($Y$21*$AD$21&gt;=$H$1,0.5,0))*(1+IF($N$21=$D$1,IF($Y$21*$AD$21&gt;=$K$1,0,IF($Y$21*$AD$21&gt;=$J$1,0,0)),0))*$B25*$D25*$E25^(Z$2-1),1),0)</f>
        <v>0</v>
      </c>
      <c r="AA25" s="47">
        <f>IF(CEILING($B25*$D25/3,1)&gt;=AA$2,CEILING($F$1*IF($Y$21*$AD$21&gt;=$I$1,1,IF($Y$21*$AD$21&gt;=$H$1,0.5,0))*(1+IF($N$21=$D$1,IF($Y$21*$AD$21&gt;=$K$1,0,IF($Y$21*$AD$21&gt;=$J$1,0,0)),0))*$B25*$D25*$E25^(AA$2-1),1),0)</f>
        <v>0</v>
      </c>
      <c r="AB25" s="47">
        <f>IF(CEILING($B25*$D25/3,1)&gt;=AB$2,CEILING($F$1*IF($Y$21*$AD$21&gt;=$I$1,1,IF($Y$21*$AD$21&gt;=$H$1,0.5,0))*(1+IF($N$21=$D$1,IF($Y$21*$AD$21&gt;=$K$1,0,IF($Y$21*$AD$21&gt;=$J$1,0,0)),0))*$B25*$D25*$E25^(AB$2-1),1),0)</f>
        <v>0</v>
      </c>
      <c r="AC25" s="47">
        <f>IF(CEILING($B25*$D25/3,1)&gt;=AC$2,CEILING($F$1*IF($Y$21*$AD$21&gt;=$I$1,1,IF($Y$21*$AD$21&gt;=$H$1,0.5,0))*(1+IF($N$21=$D$1,IF($Y$21*$AD$21&gt;=$K$1,0,IF($Y$21*$AD$21&gt;=$J$1,0,0)),0))*$B25*$D25*$E25^(AC$2-1),1),0)</f>
        <v>0</v>
      </c>
      <c r="AD25" s="47">
        <f>IF(CEILING($B25*$D25/3,1)&gt;=AD$2,CEILING($F$1*IF($Y$21*$AD$21&gt;=$I$1,1,IF($Y$21*$AD$21&gt;=$H$1,0.5,0))*(1+IF($N$21=$D$1,IF($Y$21*$AD$21&gt;=$K$1,0,IF($Y$21*$AD$21&gt;=$J$1,0,0)),0))*$B25*$D25*$E25^(AD$2-1),1),0)</f>
        <v>0</v>
      </c>
      <c r="AE25" s="47">
        <f>IF(CEILING($B25*$D25/3,1)&gt;=AE$2,CEILING($F$1*IF($Y$21*$AD$21&gt;=$I$1,1,IF($Y$21*$AD$21&gt;=$H$1,0.5,0))*(1+IF($N$21=$D$1,IF($Y$21*$AD$21&gt;=$K$1,0,IF($Y$21*$AD$21&gt;=$J$1,0,0)),0))*$B25*$D25*$E25^(AE$2-1),1),0)</f>
        <v>0</v>
      </c>
      <c r="AF25" s="47">
        <f>IF(CEILING($B25*$D25/3,1)&gt;=AF$2,CEILING($F$1*IF($Y$21*$AD$21&gt;=$I$1,1,IF($Y$21*$AD$21&gt;=$H$1,0.5,0))*(1+IF($N$21=$D$1,IF($Y$21*$AD$21&gt;=$K$1,0,IF($Y$21*$AD$21&gt;=$J$1,0,0)),0))*$B25*$D25*$E25^(AF$2-1),1),0)</f>
        <v>0</v>
      </c>
      <c r="AG25" s="47">
        <f>IF(CEILING($B25*$D25/3,1)&gt;=AG$2,CEILING($F$1*IF($Y$21*$AD$21&gt;=$I$1,1,IF($Y$21*$AD$21&gt;=$H$1,0.5,0))*(1+IF($N$21=$D$1,IF($Y$21*$AD$21&gt;=$K$1,0,IF($Y$21*$AD$21&gt;=$J$1,0,0)),0))*$B25*$D25*$E25^(AG$2-1),1),0)</f>
        <v>0</v>
      </c>
      <c r="AH25" s="47">
        <f>IF(CEILING($B25*$D25/3,1)&gt;=AH$2,CEILING($F$1*IF($Y$21*$AD$21&gt;=$I$1,1,IF($Y$21*$AD$21&gt;=$H$1,0.5,0))*(1+IF($N$21=$D$1,IF($Y$21*$AD$21&gt;=$K$1,0,IF($Y$21*$AD$21&gt;=$J$1,0,0)),0))*$B25*$D25*$E25^(AH$2-1),1),0)</f>
        <v>0</v>
      </c>
      <c r="AI25" s="48">
        <f>IF(CEILING($B25*$D25/3,1)&gt;=AI$2,CEILING($F$1*IF($Y$21*$AD$21&gt;=$I$1,1,IF($Y$21*$AD$21&gt;=$H$1,0.5,0))*(1+IF($N$21=$D$1,IF($Y$21*$AD$21&gt;=$K$1,0,IF($Y$21*$AD$21&gt;=$J$1,0,0)),0))*$B25*$D25*$E25^(AI$2-1),1),0)</f>
        <v>0</v>
      </c>
    </row>
    <row r="26" spans="1:35" x14ac:dyDescent="0.25">
      <c r="A26" s="59">
        <v>5</v>
      </c>
      <c r="B26" s="61">
        <v>0.8</v>
      </c>
      <c r="C26" s="17">
        <v>0</v>
      </c>
      <c r="D26" s="69">
        <f>CEILING(1+MIN(T$21-C26-1,$L$1)+(T$21-C26-1-MIN(T$21-C26-1,$L$1))/$M$1,1)</f>
        <v>16</v>
      </c>
      <c r="E26" s="65">
        <f>MAX(($G$1/($F$1*D26))^(1/(ROUNDUP(D26/3,)-1)),2/3)</f>
        <v>0.66666666666666663</v>
      </c>
      <c r="F26" s="47">
        <f>IF(CEILING($B26*$D26/3,1)&gt;=F$2,CEILING($F$1*IF($Y$21*$AD$21&gt;=$I$1,1,IF($Y$21*$AD$21&gt;=$H$1,0.5,0))*(1+IF($N$21=$D$1,IF($Y$21*$AD$21&gt;=$K$1,0,IF($Y$21*$AD$21&gt;=$J$1,0,0)),0))*$B26*$D26*$E26^(F$2-1),1),0)</f>
        <v>20</v>
      </c>
      <c r="G26" s="47">
        <f>IF(CEILING($B26*$D26/3,1)&gt;=G$2,CEILING($F$1*IF($Y$21*$AD$21&gt;=$I$1,1,IF($Y$21*$AD$21&gt;=$H$1,0.5,0))*(1+IF($N$21=$D$1,IF($Y$21*$AD$21&gt;=$K$1,0,IF($Y$21*$AD$21&gt;=$J$1,0,0)),0))*$B26*$D26*$E26^(G$2-1),1),0)</f>
        <v>13</v>
      </c>
      <c r="H26" s="47">
        <f>IF(CEILING($B26*$D26/3,1)&gt;=H$2,CEILING($F$1*IF($Y$21*$AD$21&gt;=$I$1,1,IF($Y$21*$AD$21&gt;=$H$1,0.5,0))*(1+IF($N$21=$D$1,IF($Y$21*$AD$21&gt;=$K$1,0,IF($Y$21*$AD$21&gt;=$J$1,0,0)),0))*$B26*$D26*$E26^(H$2-1),1),0)</f>
        <v>9</v>
      </c>
      <c r="I26" s="47">
        <f>IF(CEILING($B26*$D26/3,1)&gt;=I$2,CEILING($F$1*IF($Y$21*$AD$21&gt;=$I$1,1,IF($Y$21*$AD$21&gt;=$H$1,0.5,0))*(1+IF($N$21=$D$1,IF($Y$21*$AD$21&gt;=$K$1,0,IF($Y$21*$AD$21&gt;=$J$1,0,0)),0))*$B26*$D26*$E26^(I$2-1),1),0)</f>
        <v>6</v>
      </c>
      <c r="J26" s="47">
        <f>IF(CEILING($B26*$D26/3,1)&gt;=J$2,CEILING($F$1*IF($Y$21*$AD$21&gt;=$I$1,1,IF($Y$21*$AD$21&gt;=$H$1,0.5,0))*(1+IF($N$21=$D$1,IF($Y$21*$AD$21&gt;=$K$1,0,IF($Y$21*$AD$21&gt;=$J$1,0,0)),0))*$B26*$D26*$E26^(J$2-1),1),0)</f>
        <v>4</v>
      </c>
      <c r="K26" s="47">
        <f>IF(CEILING($B26*$D26/3,1)&gt;=K$2,CEILING($F$1*IF($Y$21*$AD$21&gt;=$I$1,1,IF($Y$21*$AD$21&gt;=$H$1,0.5,0))*(1+IF($N$21=$D$1,IF($Y$21*$AD$21&gt;=$K$1,0,IF($Y$21*$AD$21&gt;=$J$1,0,0)),0))*$B26*$D26*$E26^(K$2-1),1),0)</f>
        <v>0</v>
      </c>
      <c r="L26" s="47">
        <f>IF(CEILING($B26*$D26/3,1)&gt;=L$2,CEILING($F$1*IF($Y$21*$AD$21&gt;=$I$1,1,IF($Y$21*$AD$21&gt;=$H$1,0.5,0))*(1+IF($N$21=$D$1,IF($Y$21*$AD$21&gt;=$K$1,0,IF($Y$21*$AD$21&gt;=$J$1,0,0)),0))*$B26*$D26*$E26^(L$2-1),1),0)</f>
        <v>0</v>
      </c>
      <c r="M26" s="47">
        <f>IF(CEILING($B26*$D26/3,1)&gt;=M$2,CEILING($F$1*IF($Y$21*$AD$21&gt;=$I$1,1,IF($Y$21*$AD$21&gt;=$H$1,0.5,0))*(1+IF($N$21=$D$1,IF($Y$21*$AD$21&gt;=$K$1,0,IF($Y$21*$AD$21&gt;=$J$1,0,0)),0))*$B26*$D26*$E26^(M$2-1),1),0)</f>
        <v>0</v>
      </c>
      <c r="N26" s="47">
        <f>IF(CEILING($B26*$D26/3,1)&gt;=N$2,CEILING($F$1*IF($Y$21*$AD$21&gt;=$I$1,1,IF($Y$21*$AD$21&gt;=$H$1,0.5,0))*(1+IF($N$21=$D$1,IF($Y$21*$AD$21&gt;=$K$1,0,IF($Y$21*$AD$21&gt;=$J$1,0,0)),0))*$B26*$D26*$E26^(N$2-1),1),0)</f>
        <v>0</v>
      </c>
      <c r="O26" s="47">
        <f>IF(CEILING($B26*$D26/3,1)&gt;=O$2,CEILING($F$1*IF($Y$21*$AD$21&gt;=$I$1,1,IF($Y$21*$AD$21&gt;=$H$1,0.5,0))*(1+IF($N$21=$D$1,IF($Y$21*$AD$21&gt;=$K$1,0,IF($Y$21*$AD$21&gt;=$J$1,0,0)),0))*$B26*$D26*$E26^(O$2-1),1),0)</f>
        <v>0</v>
      </c>
      <c r="P26" s="47">
        <f>IF(CEILING($B26*$D26/3,1)&gt;=P$2,CEILING($F$1*IF($Y$21*$AD$21&gt;=$I$1,1,IF($Y$21*$AD$21&gt;=$H$1,0.5,0))*(1+IF($N$21=$D$1,IF($Y$21*$AD$21&gt;=$K$1,0,IF($Y$21*$AD$21&gt;=$J$1,0,0)),0))*$B26*$D26*$E26^(P$2-1),1),0)</f>
        <v>0</v>
      </c>
      <c r="Q26" s="47">
        <f>IF(CEILING($B26*$D26/3,1)&gt;=Q$2,CEILING($F$1*IF($Y$21*$AD$21&gt;=$I$1,1,IF($Y$21*$AD$21&gt;=$H$1,0.5,0))*(1+IF($N$21=$D$1,IF($Y$21*$AD$21&gt;=$K$1,0,IF($Y$21*$AD$21&gt;=$J$1,0,0)),0))*$B26*$D26*$E26^(Q$2-1),1),0)</f>
        <v>0</v>
      </c>
      <c r="R26" s="47">
        <f>IF(CEILING($B26*$D26/3,1)&gt;=R$2,CEILING($F$1*IF($Y$21*$AD$21&gt;=$I$1,1,IF($Y$21*$AD$21&gt;=$H$1,0.5,0))*(1+IF($N$21=$D$1,IF($Y$21*$AD$21&gt;=$K$1,0,IF($Y$21*$AD$21&gt;=$J$1,0,0)),0))*$B26*$D26*$E26^(R$2-1),1),0)</f>
        <v>0</v>
      </c>
      <c r="S26" s="47">
        <f>IF(CEILING($B26*$D26/3,1)&gt;=S$2,CEILING($F$1*IF($Y$21*$AD$21&gt;=$I$1,1,IF($Y$21*$AD$21&gt;=$H$1,0.5,0))*(1+IF($N$21=$D$1,IF($Y$21*$AD$21&gt;=$K$1,0,IF($Y$21*$AD$21&gt;=$J$1,0,0)),0))*$B26*$D26*$E26^(S$2-1),1),0)</f>
        <v>0</v>
      </c>
      <c r="T26" s="47">
        <f>IF(CEILING($B26*$D26/3,1)&gt;=T$2,CEILING($F$1*IF($Y$21*$AD$21&gt;=$I$1,1,IF($Y$21*$AD$21&gt;=$H$1,0.5,0))*(1+IF($N$21=$D$1,IF($Y$21*$AD$21&gt;=$K$1,0,IF($Y$21*$AD$21&gt;=$J$1,0,0)),0))*$B26*$D26*$E26^(T$2-1),1),0)</f>
        <v>0</v>
      </c>
      <c r="U26" s="47">
        <f>IF(CEILING($B26*$D26/3,1)&gt;=U$2,CEILING($F$1*IF($Y$21*$AD$21&gt;=$I$1,1,IF($Y$21*$AD$21&gt;=$H$1,0.5,0))*(1+IF($N$21=$D$1,IF($Y$21*$AD$21&gt;=$K$1,0,IF($Y$21*$AD$21&gt;=$J$1,0,0)),0))*$B26*$D26*$E26^(U$2-1),1),0)</f>
        <v>0</v>
      </c>
      <c r="V26" s="47">
        <f>IF(CEILING($B26*$D26/3,1)&gt;=V$2,CEILING($F$1*IF($Y$21*$AD$21&gt;=$I$1,1,IF($Y$21*$AD$21&gt;=$H$1,0.5,0))*(1+IF($N$21=$D$1,IF($Y$21*$AD$21&gt;=$K$1,0,IF($Y$21*$AD$21&gt;=$J$1,0,0)),0))*$B26*$D26*$E26^(V$2-1),1),0)</f>
        <v>0</v>
      </c>
      <c r="W26" s="47">
        <f>IF(CEILING($B26*$D26/3,1)&gt;=W$2,CEILING($F$1*IF($Y$21*$AD$21&gt;=$I$1,1,IF($Y$21*$AD$21&gt;=$H$1,0.5,0))*(1+IF($N$21=$D$1,IF($Y$21*$AD$21&gt;=$K$1,0,IF($Y$21*$AD$21&gt;=$J$1,0,0)),0))*$B26*$D26*$E26^(W$2-1),1),0)</f>
        <v>0</v>
      </c>
      <c r="X26" s="47">
        <f>IF(CEILING($B26*$D26/3,1)&gt;=X$2,CEILING($F$1*IF($Y$21*$AD$21&gt;=$I$1,1,IF($Y$21*$AD$21&gt;=$H$1,0.5,0))*(1+IF($N$21=$D$1,IF($Y$21*$AD$21&gt;=$K$1,0,IF($Y$21*$AD$21&gt;=$J$1,0,0)),0))*$B26*$D26*$E26^(X$2-1),1),0)</f>
        <v>0</v>
      </c>
      <c r="Y26" s="47">
        <f>IF(CEILING($B26*$D26/3,1)&gt;=Y$2,CEILING($F$1*IF($Y$21*$AD$21&gt;=$I$1,1,IF($Y$21*$AD$21&gt;=$H$1,0.5,0))*(1+IF($N$21=$D$1,IF($Y$21*$AD$21&gt;=$K$1,0,IF($Y$21*$AD$21&gt;=$J$1,0,0)),0))*$B26*$D26*$E26^(Y$2-1),1),0)</f>
        <v>0</v>
      </c>
      <c r="Z26" s="47">
        <f>IF(CEILING($B26*$D26/3,1)&gt;=Z$2,CEILING($F$1*IF($Y$21*$AD$21&gt;=$I$1,1,IF($Y$21*$AD$21&gt;=$H$1,0.5,0))*(1+IF($N$21=$D$1,IF($Y$21*$AD$21&gt;=$K$1,0,IF($Y$21*$AD$21&gt;=$J$1,0,0)),0))*$B26*$D26*$E26^(Z$2-1),1),0)</f>
        <v>0</v>
      </c>
      <c r="AA26" s="47">
        <f>IF(CEILING($B26*$D26/3,1)&gt;=AA$2,CEILING($F$1*IF($Y$21*$AD$21&gt;=$I$1,1,IF($Y$21*$AD$21&gt;=$H$1,0.5,0))*(1+IF($N$21=$D$1,IF($Y$21*$AD$21&gt;=$K$1,0,IF($Y$21*$AD$21&gt;=$J$1,0,0)),0))*$B26*$D26*$E26^(AA$2-1),1),0)</f>
        <v>0</v>
      </c>
      <c r="AB26" s="47">
        <f>IF(CEILING($B26*$D26/3,1)&gt;=AB$2,CEILING($F$1*IF($Y$21*$AD$21&gt;=$I$1,1,IF($Y$21*$AD$21&gt;=$H$1,0.5,0))*(1+IF($N$21=$D$1,IF($Y$21*$AD$21&gt;=$K$1,0,IF($Y$21*$AD$21&gt;=$J$1,0,0)),0))*$B26*$D26*$E26^(AB$2-1),1),0)</f>
        <v>0</v>
      </c>
      <c r="AC26" s="47">
        <f>IF(CEILING($B26*$D26/3,1)&gt;=AC$2,CEILING($F$1*IF($Y$21*$AD$21&gt;=$I$1,1,IF($Y$21*$AD$21&gt;=$H$1,0.5,0))*(1+IF($N$21=$D$1,IF($Y$21*$AD$21&gt;=$K$1,0,IF($Y$21*$AD$21&gt;=$J$1,0,0)),0))*$B26*$D26*$E26^(AC$2-1),1),0)</f>
        <v>0</v>
      </c>
      <c r="AD26" s="47">
        <f>IF(CEILING($B26*$D26/3,1)&gt;=AD$2,CEILING($F$1*IF($Y$21*$AD$21&gt;=$I$1,1,IF($Y$21*$AD$21&gt;=$H$1,0.5,0))*(1+IF($N$21=$D$1,IF($Y$21*$AD$21&gt;=$K$1,0,IF($Y$21*$AD$21&gt;=$J$1,0,0)),0))*$B26*$D26*$E26^(AD$2-1),1),0)</f>
        <v>0</v>
      </c>
      <c r="AE26" s="47">
        <f>IF(CEILING($B26*$D26/3,1)&gt;=AE$2,CEILING($F$1*IF($Y$21*$AD$21&gt;=$I$1,1,IF($Y$21*$AD$21&gt;=$H$1,0.5,0))*(1+IF($N$21=$D$1,IF($Y$21*$AD$21&gt;=$K$1,0,IF($Y$21*$AD$21&gt;=$J$1,0,0)),0))*$B26*$D26*$E26^(AE$2-1),1),0)</f>
        <v>0</v>
      </c>
      <c r="AF26" s="47">
        <f>IF(CEILING($B26*$D26/3,1)&gt;=AF$2,CEILING($F$1*IF($Y$21*$AD$21&gt;=$I$1,1,IF($Y$21*$AD$21&gt;=$H$1,0.5,0))*(1+IF($N$21=$D$1,IF($Y$21*$AD$21&gt;=$K$1,0,IF($Y$21*$AD$21&gt;=$J$1,0,0)),0))*$B26*$D26*$E26^(AF$2-1),1),0)</f>
        <v>0</v>
      </c>
      <c r="AG26" s="47">
        <f>IF(CEILING($B26*$D26/3,1)&gt;=AG$2,CEILING($F$1*IF($Y$21*$AD$21&gt;=$I$1,1,IF($Y$21*$AD$21&gt;=$H$1,0.5,0))*(1+IF($N$21=$D$1,IF($Y$21*$AD$21&gt;=$K$1,0,IF($Y$21*$AD$21&gt;=$J$1,0,0)),0))*$B26*$D26*$E26^(AG$2-1),1),0)</f>
        <v>0</v>
      </c>
      <c r="AH26" s="47">
        <f>IF(CEILING($B26*$D26/3,1)&gt;=AH$2,CEILING($F$1*IF($Y$21*$AD$21&gt;=$I$1,1,IF($Y$21*$AD$21&gt;=$H$1,0.5,0))*(1+IF($N$21=$D$1,IF($Y$21*$AD$21&gt;=$K$1,0,IF($Y$21*$AD$21&gt;=$J$1,0,0)),0))*$B26*$D26*$E26^(AH$2-1),1),0)</f>
        <v>0</v>
      </c>
      <c r="AI26" s="48">
        <f>IF(CEILING($B26*$D26/3,1)&gt;=AI$2,CEILING($F$1*IF($Y$21*$AD$21&gt;=$I$1,1,IF($Y$21*$AD$21&gt;=$H$1,0.5,0))*(1+IF($N$21=$D$1,IF($Y$21*$AD$21&gt;=$K$1,0,IF($Y$21*$AD$21&gt;=$J$1,0,0)),0))*$B26*$D26*$E26^(AI$2-1),1),0)</f>
        <v>0</v>
      </c>
    </row>
    <row r="27" spans="1:35" ht="15" customHeight="1" x14ac:dyDescent="0.25">
      <c r="A27" s="12"/>
      <c r="B27" s="9"/>
      <c r="C27" s="9"/>
      <c r="D27" s="9"/>
      <c r="E27" s="9"/>
      <c r="F27" s="9"/>
      <c r="G27" s="9"/>
      <c r="H27" s="9"/>
      <c r="I27" s="9"/>
      <c r="J27" s="10"/>
      <c r="K27" s="10"/>
      <c r="L27" s="10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1"/>
    </row>
    <row r="28" spans="1:35" x14ac:dyDescent="0.25">
      <c r="A28" s="14" t="s">
        <v>14</v>
      </c>
    </row>
    <row r="29" spans="1:35" x14ac:dyDescent="0.25">
      <c r="C29" s="119" t="s">
        <v>15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</row>
    <row r="30" spans="1:35" x14ac:dyDescent="0.25">
      <c r="C30" s="104" t="s">
        <v>22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</row>
    <row r="31" spans="1:35" x14ac:dyDescent="0.25">
      <c r="C31" s="104" t="s">
        <v>34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</row>
    <row r="32" spans="1:35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33" spans="1:34" x14ac:dyDescent="0.25">
      <c r="A33" s="57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</row>
    <row r="34" spans="1:34" x14ac:dyDescent="0.25">
      <c r="A34" s="57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</row>
    <row r="35" spans="1:34" x14ac:dyDescent="0.25">
      <c r="A35" s="57"/>
      <c r="D35" s="56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</row>
    <row r="36" spans="1:34" x14ac:dyDescent="0.25">
      <c r="C36" s="57"/>
      <c r="D36" s="57"/>
      <c r="E36" s="57"/>
    </row>
    <row r="51" spans="1:4" x14ac:dyDescent="0.25">
      <c r="A51" s="1"/>
      <c r="B51" s="1"/>
      <c r="D51" s="14"/>
    </row>
    <row r="52" spans="1:4" x14ac:dyDescent="0.25">
      <c r="C52" s="2"/>
      <c r="D52" s="14"/>
    </row>
  </sheetData>
  <sheetProtection password="C4EE" sheet="1" objects="1" scenarios="1"/>
  <mergeCells count="38">
    <mergeCell ref="C29:AH29"/>
    <mergeCell ref="C30:AH30"/>
    <mergeCell ref="C31:AH31"/>
    <mergeCell ref="F21:H21"/>
    <mergeCell ref="J21:M21"/>
    <mergeCell ref="N21:O21"/>
    <mergeCell ref="P21:S21"/>
    <mergeCell ref="U21:X21"/>
    <mergeCell ref="Z21:AC21"/>
    <mergeCell ref="Z6:AC6"/>
    <mergeCell ref="Z15:AC15"/>
    <mergeCell ref="F10:H10"/>
    <mergeCell ref="J10:M10"/>
    <mergeCell ref="N10:O10"/>
    <mergeCell ref="P10:S10"/>
    <mergeCell ref="U10:X10"/>
    <mergeCell ref="Z10:AC10"/>
    <mergeCell ref="F15:H15"/>
    <mergeCell ref="J15:M15"/>
    <mergeCell ref="N15:O15"/>
    <mergeCell ref="P15:S15"/>
    <mergeCell ref="U15:X15"/>
    <mergeCell ref="C32:AH32"/>
    <mergeCell ref="A2:B2"/>
    <mergeCell ref="A3:B3"/>
    <mergeCell ref="N1:X1"/>
    <mergeCell ref="C2:D2"/>
    <mergeCell ref="F3:H3"/>
    <mergeCell ref="J3:M3"/>
    <mergeCell ref="N3:O3"/>
    <mergeCell ref="P3:S3"/>
    <mergeCell ref="U3:X3"/>
    <mergeCell ref="Z3:AC3"/>
    <mergeCell ref="F6:H6"/>
    <mergeCell ref="J6:M6"/>
    <mergeCell ref="N6:O6"/>
    <mergeCell ref="P6:S6"/>
    <mergeCell ref="U6:X6"/>
  </mergeCells>
  <conditionalFormatting sqref="F4:AI4">
    <cfRule type="cellIs" dxfId="59" priority="11" operator="equal">
      <formula>0</formula>
    </cfRule>
  </conditionalFormatting>
  <conditionalFormatting sqref="F7:AI8">
    <cfRule type="cellIs" dxfId="58" priority="10" operator="equal">
      <formula>0</formula>
    </cfRule>
  </conditionalFormatting>
  <conditionalFormatting sqref="F11:AI13">
    <cfRule type="cellIs" dxfId="57" priority="9" operator="equal">
      <formula>0</formula>
    </cfRule>
  </conditionalFormatting>
  <conditionalFormatting sqref="F16:AI19">
    <cfRule type="cellIs" dxfId="56" priority="8" operator="equal">
      <formula>0</formula>
    </cfRule>
  </conditionalFormatting>
  <conditionalFormatting sqref="F22:AI26">
    <cfRule type="cellIs" dxfId="55" priority="7" operator="equal">
      <formula>0</formula>
    </cfRule>
  </conditionalFormatting>
  <dataValidations count="7">
    <dataValidation allowBlank="1" showInputMessage="1" showErrorMessage="1" promptTitle="Q-værdi" prompt="Andelen af MP for den næste af to placeringer." sqref="E4 E7:E8 E11:E13 E16:E19 E22:E26"/>
    <dataValidation type="whole" operator="greaterThan" allowBlank="1" showInputMessage="1" showErrorMessage="1" errorTitle="Fejl" error="Kun postive heltal" sqref="AD3 AD21 AD15 AD10 AD6 Y21 Y15 Y10 Y6 Y3">
      <formula1>0</formula1>
    </dataValidation>
    <dataValidation allowBlank="1" showInputMessage="1" showErrorMessage="1" promptTitle="&quot;dnul&quot;" prompt="Det beregnede antal deltagere" sqref="D22:D26 D7:D8 D11:D13 D16:D19 D4"/>
    <dataValidation type="whole" operator="greaterThanOrEqual" allowBlank="1" showInputMessage="1" showErrorMessage="1" errorTitle="Fejl" error="Kun postive heltal" promptTitle="Minimum" prompt="Mindst 8 deltagere" sqref="T6 T10 T15 T21 T3">
      <formula1>8</formula1>
    </dataValidation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type="list" showInputMessage="1" showErrorMessage="1" errorTitle="Arrangør" error="Intet valg: Alle" promptTitle="Arrangør" prompt="Alle arrangører har samme muligheder." sqref="N3:O3">
      <formula1>$C$1:$D$1</formula1>
    </dataValidation>
    <dataValidation type="list" showInputMessage="1" showErrorMessage="1" errorTitle="Arrangør" error="Intet valg: Alle" promptTitle="Arrangør" prompt="Alle arrangører har samme muligheder." sqref="N6:O6 N21:O21 N15:O15 N10:O10">
      <formula1>$C$1</formula1>
    </dataValidation>
  </dataValidations>
  <printOptions horizontalCentered="1"/>
  <pageMargins left="0.31496062992125984" right="0.31496062992125984" top="1.7322834645669292" bottom="0.74803149606299213" header="0.31496062992125984" footer="0.31496062992125984"/>
  <pageSetup paperSize="9" scale="87" orientation="landscape" horizontalDpi="4294967295" verticalDpi="4294967295" r:id="rId1"/>
  <headerFooter>
    <oddHeader>&amp;L&amp;G&amp;C&amp;20Bronzepoint i enkeltmandsturneringer&amp;RVersion 1.1</oddHeader>
    <oddFooter>&amp;CUdskrevet: &amp;D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zoomScaleNormal="100" workbookViewId="0">
      <selection activeCell="N3" sqref="N3:O3"/>
    </sheetView>
  </sheetViews>
  <sheetFormatPr defaultRowHeight="15" x14ac:dyDescent="0.25"/>
  <cols>
    <col min="1" max="1" width="2.28515625" style="72" customWidth="1"/>
    <col min="2" max="2" width="5.28515625" style="72" customWidth="1"/>
    <col min="3" max="3" width="5.7109375" style="1" customWidth="1"/>
    <col min="4" max="4" width="4.7109375" style="71" customWidth="1"/>
    <col min="5" max="5" width="9.140625" style="72" customWidth="1"/>
    <col min="6" max="7" width="5.7109375" style="72" customWidth="1"/>
    <col min="8" max="13" width="4.7109375" style="72" customWidth="1"/>
    <col min="14" max="35" width="4.28515625" style="72" customWidth="1"/>
    <col min="36" max="16384" width="9.140625" style="72"/>
  </cols>
  <sheetData>
    <row r="1" spans="1:38" x14ac:dyDescent="0.25">
      <c r="A1" s="20">
        <v>0</v>
      </c>
      <c r="B1" s="20">
        <v>1</v>
      </c>
      <c r="C1" s="19" t="s">
        <v>27</v>
      </c>
      <c r="D1" s="19" t="s">
        <v>27</v>
      </c>
      <c r="E1" s="19" t="s">
        <v>27</v>
      </c>
      <c r="F1" s="18">
        <v>16</v>
      </c>
      <c r="G1" s="20">
        <v>1</v>
      </c>
      <c r="H1" s="80">
        <v>12</v>
      </c>
      <c r="I1" s="80">
        <v>24</v>
      </c>
      <c r="J1" s="21">
        <v>100</v>
      </c>
      <c r="K1" s="21">
        <v>150</v>
      </c>
      <c r="L1" s="21"/>
      <c r="M1" s="21"/>
      <c r="N1" s="109" t="s">
        <v>35</v>
      </c>
      <c r="O1" s="109"/>
      <c r="P1" s="109"/>
      <c r="Q1" s="109"/>
      <c r="R1" s="109"/>
      <c r="S1" s="109"/>
      <c r="T1" s="109"/>
      <c r="U1" s="109"/>
      <c r="V1" s="109"/>
      <c r="W1" s="109"/>
    </row>
    <row r="2" spans="1:38" x14ac:dyDescent="0.25">
      <c r="A2" s="105" t="s">
        <v>8</v>
      </c>
      <c r="B2" s="106"/>
      <c r="C2" s="110" t="s">
        <v>9</v>
      </c>
      <c r="D2" s="111"/>
      <c r="E2" s="22" t="s">
        <v>13</v>
      </c>
      <c r="F2" s="23">
        <v>1</v>
      </c>
      <c r="G2" s="23">
        <v>2</v>
      </c>
      <c r="H2" s="23">
        <v>3</v>
      </c>
      <c r="I2" s="23">
        <v>4</v>
      </c>
      <c r="J2" s="23">
        <v>5</v>
      </c>
      <c r="K2" s="23">
        <v>6</v>
      </c>
      <c r="L2" s="23">
        <v>7</v>
      </c>
      <c r="M2" s="23">
        <v>8</v>
      </c>
      <c r="N2" s="23">
        <v>9</v>
      </c>
      <c r="O2" s="23">
        <v>10</v>
      </c>
      <c r="P2" s="23">
        <v>11</v>
      </c>
      <c r="Q2" s="23">
        <v>12</v>
      </c>
      <c r="R2" s="23">
        <v>13</v>
      </c>
      <c r="S2" s="23">
        <v>14</v>
      </c>
      <c r="T2" s="23">
        <v>15</v>
      </c>
      <c r="U2" s="23">
        <v>16</v>
      </c>
      <c r="V2" s="23">
        <v>17</v>
      </c>
      <c r="W2" s="23">
        <v>18</v>
      </c>
      <c r="X2" s="23">
        <v>19</v>
      </c>
      <c r="Y2" s="23">
        <v>20</v>
      </c>
      <c r="Z2" s="23">
        <v>21</v>
      </c>
      <c r="AA2" s="23">
        <v>22</v>
      </c>
      <c r="AB2" s="23">
        <v>23</v>
      </c>
      <c r="AC2" s="23">
        <v>24</v>
      </c>
      <c r="AD2" s="23">
        <v>25</v>
      </c>
      <c r="AE2" s="23">
        <v>26</v>
      </c>
      <c r="AF2" s="23">
        <v>27</v>
      </c>
      <c r="AG2" s="23">
        <v>28</v>
      </c>
      <c r="AH2" s="148" t="s">
        <v>36</v>
      </c>
      <c r="AI2" s="149"/>
    </row>
    <row r="3" spans="1:38" x14ac:dyDescent="0.25">
      <c r="A3" s="107" t="s">
        <v>7</v>
      </c>
      <c r="B3" s="108"/>
      <c r="C3" s="5" t="s">
        <v>10</v>
      </c>
      <c r="D3" s="66" t="s">
        <v>33</v>
      </c>
      <c r="E3" s="62" t="s">
        <v>12</v>
      </c>
      <c r="F3" s="112" t="s">
        <v>11</v>
      </c>
      <c r="G3" s="112"/>
      <c r="H3" s="112"/>
      <c r="I3" s="25">
        <v>1</v>
      </c>
      <c r="J3" s="113" t="s">
        <v>3</v>
      </c>
      <c r="K3" s="113"/>
      <c r="L3" s="113"/>
      <c r="M3" s="113"/>
      <c r="N3" s="118" t="s">
        <v>27</v>
      </c>
      <c r="O3" s="118"/>
      <c r="P3" s="115" t="s">
        <v>1</v>
      </c>
      <c r="Q3" s="115"/>
      <c r="R3" s="115"/>
      <c r="S3" s="115"/>
      <c r="T3" s="15">
        <v>8</v>
      </c>
      <c r="U3" s="116" t="s">
        <v>37</v>
      </c>
      <c r="V3" s="116"/>
      <c r="W3" s="116"/>
      <c r="X3" s="116"/>
      <c r="Y3" s="15">
        <v>7</v>
      </c>
      <c r="Z3" s="116" t="s">
        <v>38</v>
      </c>
      <c r="AA3" s="116"/>
      <c r="AB3" s="116"/>
      <c r="AC3" s="116"/>
      <c r="AD3" s="15">
        <v>32</v>
      </c>
      <c r="AE3" s="26"/>
      <c r="AF3" s="26"/>
      <c r="AG3" s="26"/>
      <c r="AH3" s="26"/>
      <c r="AI3" s="73"/>
    </row>
    <row r="4" spans="1:38" x14ac:dyDescent="0.25">
      <c r="A4" s="70">
        <v>1</v>
      </c>
      <c r="B4" s="74">
        <v>1</v>
      </c>
      <c r="C4" s="16">
        <v>0</v>
      </c>
      <c r="D4" s="67">
        <f>(1+MIN(Y3,T3-C4-1))</f>
        <v>8</v>
      </c>
      <c r="E4" s="63">
        <f>MAX(($G$1/($F$1*D4))^(1/(ROUNDUP(D4/3,)-1)),1)</f>
        <v>1</v>
      </c>
      <c r="F4" s="47">
        <f t="shared" ref="F4:AG4" si="0">IF(CEILING($D4/3,1)&gt;=F$2,CEILING(($F$1-6)*(1+(1-MIN($A4,3))/(MIN($A4,3)+1))*IF($AD$3&gt;=$I$1,1,IF($AD$3&gt;=$H$1,0.5,0))*(1+IF($N$3=$C$1,IF($AD$3&gt;=$K$1,0,IF($AD$3&gt;=$J$1,0,0)),0))*(($D4-1)-3*(F$2-1)),1),0)</f>
        <v>70</v>
      </c>
      <c r="G4" s="47">
        <f t="shared" si="0"/>
        <v>40</v>
      </c>
      <c r="H4" s="47">
        <f t="shared" si="0"/>
        <v>10</v>
      </c>
      <c r="I4" s="47">
        <f t="shared" si="0"/>
        <v>0</v>
      </c>
      <c r="J4" s="47">
        <f t="shared" si="0"/>
        <v>0</v>
      </c>
      <c r="K4" s="47">
        <f t="shared" si="0"/>
        <v>0</v>
      </c>
      <c r="L4" s="47">
        <f t="shared" si="0"/>
        <v>0</v>
      </c>
      <c r="M4" s="47">
        <f t="shared" si="0"/>
        <v>0</v>
      </c>
      <c r="N4" s="47">
        <f t="shared" si="0"/>
        <v>0</v>
      </c>
      <c r="O4" s="47">
        <f t="shared" si="0"/>
        <v>0</v>
      </c>
      <c r="P4" s="47">
        <f t="shared" si="0"/>
        <v>0</v>
      </c>
      <c r="Q4" s="47">
        <f t="shared" si="0"/>
        <v>0</v>
      </c>
      <c r="R4" s="47">
        <f t="shared" si="0"/>
        <v>0</v>
      </c>
      <c r="S4" s="47">
        <f t="shared" si="0"/>
        <v>0</v>
      </c>
      <c r="T4" s="47">
        <f t="shared" si="0"/>
        <v>0</v>
      </c>
      <c r="U4" s="47">
        <f t="shared" si="0"/>
        <v>0</v>
      </c>
      <c r="V4" s="47">
        <f t="shared" si="0"/>
        <v>0</v>
      </c>
      <c r="W4" s="47">
        <f t="shared" si="0"/>
        <v>0</v>
      </c>
      <c r="X4" s="47">
        <f t="shared" si="0"/>
        <v>0</v>
      </c>
      <c r="Y4" s="47">
        <f t="shared" si="0"/>
        <v>0</v>
      </c>
      <c r="Z4" s="47">
        <f t="shared" si="0"/>
        <v>0</v>
      </c>
      <c r="AA4" s="47">
        <f t="shared" si="0"/>
        <v>0</v>
      </c>
      <c r="AB4" s="47">
        <f t="shared" si="0"/>
        <v>0</v>
      </c>
      <c r="AC4" s="47">
        <f t="shared" si="0"/>
        <v>0</v>
      </c>
      <c r="AD4" s="47">
        <f t="shared" si="0"/>
        <v>0</v>
      </c>
      <c r="AE4" s="47">
        <f t="shared" si="0"/>
        <v>0</v>
      </c>
      <c r="AF4" s="47">
        <f t="shared" si="0"/>
        <v>0</v>
      </c>
      <c r="AG4" s="47">
        <f t="shared" si="0"/>
        <v>0</v>
      </c>
      <c r="AH4" s="47"/>
      <c r="AI4" s="75">
        <f>CEILING($F$1*IF($AD$3&gt;=$I$1,1,IF($AD$3&gt;=$H$1,$AD$3/$I$1,0))*$B4*(1+IF($N$3=$C$1,IF($AD$3&gt;=$K$1,0,IF($AD$3&gt;=$J$1,0,0)),0))*$E4^(F$2-1),1)</f>
        <v>16</v>
      </c>
    </row>
    <row r="5" spans="1:38" ht="15" customHeight="1" x14ac:dyDescent="0.25">
      <c r="A5" s="70"/>
      <c r="B5" s="74"/>
      <c r="C5" s="6"/>
      <c r="D5" s="68"/>
      <c r="E5" s="64"/>
      <c r="F5" s="146" t="s">
        <v>39</v>
      </c>
      <c r="G5" s="147"/>
      <c r="H5" s="147"/>
      <c r="I5" s="49"/>
      <c r="J5" s="50"/>
      <c r="K5" s="50"/>
      <c r="L5" s="50"/>
      <c r="M5" s="50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76"/>
    </row>
    <row r="6" spans="1:38" x14ac:dyDescent="0.25">
      <c r="A6" s="70"/>
      <c r="B6" s="74"/>
      <c r="C6" s="6"/>
      <c r="D6" s="68"/>
      <c r="E6" s="64"/>
      <c r="F6" s="117" t="s">
        <v>11</v>
      </c>
      <c r="G6" s="117"/>
      <c r="H6" s="117"/>
      <c r="I6" s="36">
        <v>2</v>
      </c>
      <c r="J6" s="113" t="s">
        <v>3</v>
      </c>
      <c r="K6" s="113"/>
      <c r="L6" s="113"/>
      <c r="M6" s="113"/>
      <c r="N6" s="118" t="s">
        <v>27</v>
      </c>
      <c r="O6" s="118"/>
      <c r="P6" s="115" t="s">
        <v>1</v>
      </c>
      <c r="Q6" s="115"/>
      <c r="R6" s="115"/>
      <c r="S6" s="115"/>
      <c r="T6" s="15">
        <v>8</v>
      </c>
      <c r="U6" s="116" t="s">
        <v>37</v>
      </c>
      <c r="V6" s="116"/>
      <c r="W6" s="116"/>
      <c r="X6" s="116"/>
      <c r="Y6" s="15">
        <v>7</v>
      </c>
      <c r="Z6" s="116" t="s">
        <v>38</v>
      </c>
      <c r="AA6" s="116"/>
      <c r="AB6" s="116"/>
      <c r="AC6" s="116"/>
      <c r="AD6" s="15">
        <v>32</v>
      </c>
      <c r="AE6" s="26"/>
      <c r="AF6" s="26"/>
      <c r="AG6" s="26"/>
      <c r="AH6" s="26"/>
      <c r="AI6" s="77"/>
      <c r="AL6" s="72" t="s">
        <v>53</v>
      </c>
    </row>
    <row r="7" spans="1:38" x14ac:dyDescent="0.25">
      <c r="A7" s="70">
        <v>1</v>
      </c>
      <c r="B7" s="74">
        <f>(1+I6/$F$1)</f>
        <v>1.125</v>
      </c>
      <c r="C7" s="16">
        <v>0</v>
      </c>
      <c r="D7" s="67">
        <f>(1+MIN(Y$6,T$6-C7-1))</f>
        <v>8</v>
      </c>
      <c r="E7" s="63">
        <f t="shared" ref="E7:E8" si="1">MAX(($G$1/($F$1*D7))^(1/(ROUNDUP(D7/3,)-1)),1)</f>
        <v>1</v>
      </c>
      <c r="F7" s="47">
        <f t="shared" ref="F7:U8" si="2">IF(CEILING($D7/3,1)&gt;=F$2,CEILING(($F$1-6)*(1+(1-MIN($A7,3))/(MIN($A7,3)+1))*IF($AD$6&gt;=$I$1,1,IF($AD$6&gt;=$H$1,0.5,0))*(1+IF($N$6=$C$1,IF($AD$6&gt;=$K$1,0,IF($AD$6&gt;=$J$1,0,0)),0))*(($D7-1)-3*(F$2-1)),1),0)</f>
        <v>70</v>
      </c>
      <c r="G7" s="47">
        <f t="shared" si="2"/>
        <v>40</v>
      </c>
      <c r="H7" s="47">
        <f t="shared" si="2"/>
        <v>10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7">
        <f t="shared" si="2"/>
        <v>0</v>
      </c>
      <c r="P7" s="47">
        <f t="shared" si="2"/>
        <v>0</v>
      </c>
      <c r="Q7" s="47">
        <f t="shared" si="2"/>
        <v>0</v>
      </c>
      <c r="R7" s="47">
        <f t="shared" si="2"/>
        <v>0</v>
      </c>
      <c r="S7" s="47">
        <f t="shared" si="2"/>
        <v>0</v>
      </c>
      <c r="T7" s="47">
        <f t="shared" si="2"/>
        <v>0</v>
      </c>
      <c r="U7" s="47">
        <f t="shared" si="2"/>
        <v>0</v>
      </c>
      <c r="V7" s="47">
        <f t="shared" ref="V7:AG8" si="3">IF(CEILING($D7/3,1)&gt;=V$2,CEILING(($F$1-6)*(1+(1-MIN($A7,3))/(MIN($A7,3)+1))*IF($AD$6&gt;=$I$1,1,IF($AD$6&gt;=$H$1,0.5,0))*(1+IF($N$6=$C$1,IF($AD$6&gt;=$K$1,0,IF($AD$6&gt;=$J$1,0,0)),0))*(($D7-1)-3*(V$2-1)),1),0)</f>
        <v>0</v>
      </c>
      <c r="W7" s="47">
        <f t="shared" si="3"/>
        <v>0</v>
      </c>
      <c r="X7" s="47">
        <f t="shared" si="3"/>
        <v>0</v>
      </c>
      <c r="Y7" s="47">
        <f t="shared" si="3"/>
        <v>0</v>
      </c>
      <c r="Z7" s="47">
        <f t="shared" si="3"/>
        <v>0</v>
      </c>
      <c r="AA7" s="47">
        <f t="shared" si="3"/>
        <v>0</v>
      </c>
      <c r="AB7" s="47">
        <f t="shared" si="3"/>
        <v>0</v>
      </c>
      <c r="AC7" s="47">
        <f t="shared" si="3"/>
        <v>0</v>
      </c>
      <c r="AD7" s="47">
        <f t="shared" si="3"/>
        <v>0</v>
      </c>
      <c r="AE7" s="47">
        <f t="shared" si="3"/>
        <v>0</v>
      </c>
      <c r="AF7" s="47">
        <f t="shared" si="3"/>
        <v>0</v>
      </c>
      <c r="AG7" s="47">
        <f t="shared" si="3"/>
        <v>0</v>
      </c>
      <c r="AH7" s="47"/>
      <c r="AI7" s="75">
        <f>CEILING($F$1*IF($AD$6&gt;=$I$1,1,IF($AD$6&gt;=$H$1,$AD$6/$I$1,0))*$B7*(1+IF($N$3=$C$1,IF($AD$6&gt;=$K$1,0,IF($AD$6&gt;=$J$1,0,0)),0))*$E7^(F$2-1),1)</f>
        <v>18</v>
      </c>
    </row>
    <row r="8" spans="1:38" x14ac:dyDescent="0.25">
      <c r="A8" s="70">
        <v>2</v>
      </c>
      <c r="B8" s="74">
        <f>(1+(I6-2*G$2)/$F$1)</f>
        <v>0.875</v>
      </c>
      <c r="C8" s="16">
        <v>0</v>
      </c>
      <c r="D8" s="67">
        <f>(1+MIN(Y$6,T$6-C8-1))</f>
        <v>8</v>
      </c>
      <c r="E8" s="63">
        <f t="shared" si="1"/>
        <v>1</v>
      </c>
      <c r="F8" s="47">
        <f t="shared" si="2"/>
        <v>47</v>
      </c>
      <c r="G8" s="47">
        <f t="shared" si="2"/>
        <v>27</v>
      </c>
      <c r="H8" s="47">
        <f t="shared" si="2"/>
        <v>7</v>
      </c>
      <c r="I8" s="47">
        <f t="shared" si="2"/>
        <v>0</v>
      </c>
      <c r="J8" s="47">
        <f t="shared" si="2"/>
        <v>0</v>
      </c>
      <c r="K8" s="47">
        <f t="shared" si="2"/>
        <v>0</v>
      </c>
      <c r="L8" s="47">
        <f t="shared" si="2"/>
        <v>0</v>
      </c>
      <c r="M8" s="47">
        <f t="shared" si="2"/>
        <v>0</v>
      </c>
      <c r="N8" s="47">
        <f t="shared" si="2"/>
        <v>0</v>
      </c>
      <c r="O8" s="47">
        <f t="shared" si="2"/>
        <v>0</v>
      </c>
      <c r="P8" s="47">
        <f t="shared" si="2"/>
        <v>0</v>
      </c>
      <c r="Q8" s="47">
        <f t="shared" si="2"/>
        <v>0</v>
      </c>
      <c r="R8" s="47">
        <f t="shared" si="2"/>
        <v>0</v>
      </c>
      <c r="S8" s="47">
        <f t="shared" si="2"/>
        <v>0</v>
      </c>
      <c r="T8" s="47">
        <f t="shared" si="2"/>
        <v>0</v>
      </c>
      <c r="U8" s="47">
        <f t="shared" si="2"/>
        <v>0</v>
      </c>
      <c r="V8" s="47">
        <f t="shared" si="3"/>
        <v>0</v>
      </c>
      <c r="W8" s="47">
        <f t="shared" si="3"/>
        <v>0</v>
      </c>
      <c r="X8" s="47">
        <f t="shared" si="3"/>
        <v>0</v>
      </c>
      <c r="Y8" s="47">
        <f t="shared" si="3"/>
        <v>0</v>
      </c>
      <c r="Z8" s="47">
        <f t="shared" si="3"/>
        <v>0</v>
      </c>
      <c r="AA8" s="47">
        <f t="shared" si="3"/>
        <v>0</v>
      </c>
      <c r="AB8" s="47">
        <f t="shared" si="3"/>
        <v>0</v>
      </c>
      <c r="AC8" s="47">
        <f t="shared" si="3"/>
        <v>0</v>
      </c>
      <c r="AD8" s="47">
        <f t="shared" si="3"/>
        <v>0</v>
      </c>
      <c r="AE8" s="47">
        <f t="shared" si="3"/>
        <v>0</v>
      </c>
      <c r="AF8" s="47">
        <f t="shared" si="3"/>
        <v>0</v>
      </c>
      <c r="AG8" s="47">
        <f t="shared" si="3"/>
        <v>0</v>
      </c>
      <c r="AH8" s="47"/>
      <c r="AI8" s="75">
        <f>CEILING($F$1*IF($AD$6&gt;=$I$1,1,IF($AD$6&gt;=$H$1,$AD$6/$I$1,0))*$B8*(1+IF($N$3=$C$1,IF($AD$6&gt;=$K$1,0,IF($AD$6&gt;=$J$1,0,0)),0))*$E8^(F$2-1),1)</f>
        <v>14</v>
      </c>
    </row>
    <row r="9" spans="1:38" ht="15" customHeight="1" x14ac:dyDescent="0.25">
      <c r="A9" s="70"/>
      <c r="B9" s="74"/>
      <c r="C9" s="6"/>
      <c r="D9" s="68"/>
      <c r="E9" s="64"/>
      <c r="F9" s="146" t="s">
        <v>39</v>
      </c>
      <c r="G9" s="147"/>
      <c r="H9" s="147"/>
      <c r="I9" s="49"/>
      <c r="J9" s="50"/>
      <c r="K9" s="50"/>
      <c r="L9" s="50"/>
      <c r="M9" s="50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76"/>
    </row>
    <row r="10" spans="1:38" x14ac:dyDescent="0.25">
      <c r="A10" s="70"/>
      <c r="B10" s="74"/>
      <c r="C10" s="6"/>
      <c r="D10" s="68"/>
      <c r="E10" s="64"/>
      <c r="F10" s="117" t="s">
        <v>11</v>
      </c>
      <c r="G10" s="117"/>
      <c r="H10" s="117"/>
      <c r="I10" s="36">
        <v>3</v>
      </c>
      <c r="J10" s="113" t="s">
        <v>3</v>
      </c>
      <c r="K10" s="113"/>
      <c r="L10" s="113"/>
      <c r="M10" s="113"/>
      <c r="N10" s="118" t="s">
        <v>27</v>
      </c>
      <c r="O10" s="118"/>
      <c r="P10" s="115" t="s">
        <v>1</v>
      </c>
      <c r="Q10" s="115"/>
      <c r="R10" s="115"/>
      <c r="S10" s="115"/>
      <c r="T10" s="15">
        <v>8</v>
      </c>
      <c r="U10" s="116" t="s">
        <v>37</v>
      </c>
      <c r="V10" s="116"/>
      <c r="W10" s="116"/>
      <c r="X10" s="116"/>
      <c r="Y10" s="15">
        <v>7</v>
      </c>
      <c r="Z10" s="116" t="s">
        <v>38</v>
      </c>
      <c r="AA10" s="116"/>
      <c r="AB10" s="116"/>
      <c r="AC10" s="116"/>
      <c r="AD10" s="15">
        <v>32</v>
      </c>
      <c r="AE10" s="26"/>
      <c r="AF10" s="26"/>
      <c r="AG10" s="26"/>
      <c r="AH10" s="26"/>
      <c r="AI10" s="77"/>
    </row>
    <row r="11" spans="1:38" x14ac:dyDescent="0.25">
      <c r="A11" s="70">
        <v>1</v>
      </c>
      <c r="B11" s="74">
        <f>(1+(I$10-0*$A11)/$F$1)</f>
        <v>1.1875</v>
      </c>
      <c r="C11" s="16">
        <v>0</v>
      </c>
      <c r="D11" s="67">
        <f>(1+MIN(Y$10,T$10-C11-1))</f>
        <v>8</v>
      </c>
      <c r="E11" s="63">
        <f t="shared" ref="E11:E13" si="4">MAX(($G$1/($F$1*D11))^(1/(ROUNDUP(D11/3,)-1)),1)</f>
        <v>1</v>
      </c>
      <c r="F11" s="47">
        <f t="shared" ref="F11:U13" si="5">IF(CEILING($D11/3,1)&gt;=F$2,CEILING(($F$1-6)*(1+(1-MIN($A11,3))/(MIN($A11,3)+1))*IF($AD$10&gt;=$I$1,1,IF($AD$10&gt;=$H$1,0.5,0))*(1+IF($N$10=$C$1,IF($AD$10&gt;=$K$1,0,IF($AD$10&gt;=$J$1,0,0)),0))*(($D11-1)-3*(F$2-1)),1),0)</f>
        <v>70</v>
      </c>
      <c r="G11" s="47">
        <f t="shared" si="5"/>
        <v>40</v>
      </c>
      <c r="H11" s="47">
        <f t="shared" si="5"/>
        <v>10</v>
      </c>
      <c r="I11" s="47">
        <f t="shared" si="5"/>
        <v>0</v>
      </c>
      <c r="J11" s="47">
        <f t="shared" si="5"/>
        <v>0</v>
      </c>
      <c r="K11" s="47">
        <f t="shared" si="5"/>
        <v>0</v>
      </c>
      <c r="L11" s="47">
        <f t="shared" si="5"/>
        <v>0</v>
      </c>
      <c r="M11" s="47">
        <f t="shared" si="5"/>
        <v>0</v>
      </c>
      <c r="N11" s="47">
        <f t="shared" si="5"/>
        <v>0</v>
      </c>
      <c r="O11" s="47">
        <f t="shared" si="5"/>
        <v>0</v>
      </c>
      <c r="P11" s="47">
        <f t="shared" si="5"/>
        <v>0</v>
      </c>
      <c r="Q11" s="47">
        <f t="shared" si="5"/>
        <v>0</v>
      </c>
      <c r="R11" s="47">
        <f t="shared" si="5"/>
        <v>0</v>
      </c>
      <c r="S11" s="47">
        <f t="shared" si="5"/>
        <v>0</v>
      </c>
      <c r="T11" s="47">
        <f t="shared" si="5"/>
        <v>0</v>
      </c>
      <c r="U11" s="47">
        <f t="shared" si="5"/>
        <v>0</v>
      </c>
      <c r="V11" s="47">
        <f t="shared" ref="V11:AG13" si="6">IF(CEILING($D11/3,1)&gt;=V$2,CEILING(($F$1-6)*(1+(1-MIN($A11,3))/(MIN($A11,3)+1))*IF($AD$10&gt;=$I$1,1,IF($AD$10&gt;=$H$1,0.5,0))*(1+IF($N$10=$C$1,IF($AD$10&gt;=$K$1,0,IF($AD$10&gt;=$J$1,0,0)),0))*(($D11-1)-3*(V$2-1)),1),0)</f>
        <v>0</v>
      </c>
      <c r="W11" s="47">
        <f t="shared" si="6"/>
        <v>0</v>
      </c>
      <c r="X11" s="47">
        <f t="shared" si="6"/>
        <v>0</v>
      </c>
      <c r="Y11" s="47">
        <f t="shared" si="6"/>
        <v>0</v>
      </c>
      <c r="Z11" s="47">
        <f t="shared" si="6"/>
        <v>0</v>
      </c>
      <c r="AA11" s="47">
        <f t="shared" si="6"/>
        <v>0</v>
      </c>
      <c r="AB11" s="47">
        <f t="shared" si="6"/>
        <v>0</v>
      </c>
      <c r="AC11" s="47">
        <f t="shared" si="6"/>
        <v>0</v>
      </c>
      <c r="AD11" s="47">
        <f t="shared" si="6"/>
        <v>0</v>
      </c>
      <c r="AE11" s="47">
        <f t="shared" si="6"/>
        <v>0</v>
      </c>
      <c r="AF11" s="47">
        <f t="shared" si="6"/>
        <v>0</v>
      </c>
      <c r="AG11" s="47">
        <f t="shared" si="6"/>
        <v>0</v>
      </c>
      <c r="AH11" s="47"/>
      <c r="AI11" s="75">
        <f>CEILING($F$1*IF($AD$10&gt;=$I$1,1,IF($AD$10&gt;=$H$1,$AD$10/$I$1,0))*$B11*(1+IF($N$3=$C$1,IF($AD$10&gt;=$K$1,0,IF($AD$10&gt;=$J$1,0,0)),0))*$E11^(F$2-1),1)</f>
        <v>19</v>
      </c>
    </row>
    <row r="12" spans="1:38" x14ac:dyDescent="0.25">
      <c r="A12" s="70">
        <v>2</v>
      </c>
      <c r="B12" s="74">
        <f>(1+(I$10-2*$A12)/$F$1)</f>
        <v>0.9375</v>
      </c>
      <c r="C12" s="16">
        <v>0</v>
      </c>
      <c r="D12" s="67">
        <f t="shared" ref="D12:D13" si="7">(1+MIN(Y$10,T$10-C12-1))</f>
        <v>8</v>
      </c>
      <c r="E12" s="63">
        <f t="shared" si="4"/>
        <v>1</v>
      </c>
      <c r="F12" s="47">
        <f t="shared" si="5"/>
        <v>47</v>
      </c>
      <c r="G12" s="47">
        <f t="shared" si="5"/>
        <v>27</v>
      </c>
      <c r="H12" s="47">
        <f t="shared" si="5"/>
        <v>7</v>
      </c>
      <c r="I12" s="47">
        <f t="shared" si="5"/>
        <v>0</v>
      </c>
      <c r="J12" s="47">
        <f t="shared" si="5"/>
        <v>0</v>
      </c>
      <c r="K12" s="47">
        <f t="shared" si="5"/>
        <v>0</v>
      </c>
      <c r="L12" s="47">
        <f t="shared" si="5"/>
        <v>0</v>
      </c>
      <c r="M12" s="47">
        <f t="shared" si="5"/>
        <v>0</v>
      </c>
      <c r="N12" s="47">
        <f t="shared" si="5"/>
        <v>0</v>
      </c>
      <c r="O12" s="47">
        <f t="shared" si="5"/>
        <v>0</v>
      </c>
      <c r="P12" s="47">
        <f t="shared" si="5"/>
        <v>0</v>
      </c>
      <c r="Q12" s="47">
        <f t="shared" si="5"/>
        <v>0</v>
      </c>
      <c r="R12" s="47">
        <f t="shared" si="5"/>
        <v>0</v>
      </c>
      <c r="S12" s="47">
        <f t="shared" si="5"/>
        <v>0</v>
      </c>
      <c r="T12" s="47">
        <f t="shared" si="5"/>
        <v>0</v>
      </c>
      <c r="U12" s="47">
        <f t="shared" si="5"/>
        <v>0</v>
      </c>
      <c r="V12" s="47">
        <f t="shared" si="6"/>
        <v>0</v>
      </c>
      <c r="W12" s="47">
        <f t="shared" si="6"/>
        <v>0</v>
      </c>
      <c r="X12" s="47">
        <f t="shared" si="6"/>
        <v>0</v>
      </c>
      <c r="Y12" s="47">
        <f t="shared" si="6"/>
        <v>0</v>
      </c>
      <c r="Z12" s="47">
        <f t="shared" si="6"/>
        <v>0</v>
      </c>
      <c r="AA12" s="47">
        <f t="shared" si="6"/>
        <v>0</v>
      </c>
      <c r="AB12" s="47">
        <f t="shared" si="6"/>
        <v>0</v>
      </c>
      <c r="AC12" s="47">
        <f t="shared" si="6"/>
        <v>0</v>
      </c>
      <c r="AD12" s="47">
        <f t="shared" si="6"/>
        <v>0</v>
      </c>
      <c r="AE12" s="47">
        <f t="shared" si="6"/>
        <v>0</v>
      </c>
      <c r="AF12" s="47">
        <f t="shared" si="6"/>
        <v>0</v>
      </c>
      <c r="AG12" s="47">
        <f t="shared" si="6"/>
        <v>0</v>
      </c>
      <c r="AH12" s="47"/>
      <c r="AI12" s="75">
        <f>CEILING($F$1*IF($AD$10&gt;=$I$1,1,IF($AD$10&gt;=$H$1,$AD$10/$I$1,0))*$B12*(1+IF($N$3=$C$1,IF($AD$10&gt;=$K$1,0,IF($AD$10&gt;=$J$1,0,0)),0))*$E12^(F$2-1),1)</f>
        <v>15</v>
      </c>
    </row>
    <row r="13" spans="1:38" x14ac:dyDescent="0.25">
      <c r="A13" s="70">
        <v>3</v>
      </c>
      <c r="B13" s="74">
        <f>(1+(I$10-2*$A13)/$F$1)</f>
        <v>0.8125</v>
      </c>
      <c r="C13" s="16">
        <v>0</v>
      </c>
      <c r="D13" s="67">
        <f t="shared" si="7"/>
        <v>8</v>
      </c>
      <c r="E13" s="63">
        <f t="shared" si="4"/>
        <v>1</v>
      </c>
      <c r="F13" s="47">
        <f t="shared" si="5"/>
        <v>35</v>
      </c>
      <c r="G13" s="47">
        <f t="shared" si="5"/>
        <v>20</v>
      </c>
      <c r="H13" s="47">
        <f t="shared" si="5"/>
        <v>5</v>
      </c>
      <c r="I13" s="47">
        <f t="shared" si="5"/>
        <v>0</v>
      </c>
      <c r="J13" s="47">
        <f t="shared" si="5"/>
        <v>0</v>
      </c>
      <c r="K13" s="47">
        <f t="shared" si="5"/>
        <v>0</v>
      </c>
      <c r="L13" s="47">
        <f t="shared" si="5"/>
        <v>0</v>
      </c>
      <c r="M13" s="47">
        <f t="shared" si="5"/>
        <v>0</v>
      </c>
      <c r="N13" s="47">
        <f t="shared" si="5"/>
        <v>0</v>
      </c>
      <c r="O13" s="47">
        <f t="shared" si="5"/>
        <v>0</v>
      </c>
      <c r="P13" s="47">
        <f t="shared" si="5"/>
        <v>0</v>
      </c>
      <c r="Q13" s="47">
        <f t="shared" si="5"/>
        <v>0</v>
      </c>
      <c r="R13" s="47">
        <f t="shared" si="5"/>
        <v>0</v>
      </c>
      <c r="S13" s="47">
        <f t="shared" si="5"/>
        <v>0</v>
      </c>
      <c r="T13" s="47">
        <f t="shared" si="5"/>
        <v>0</v>
      </c>
      <c r="U13" s="47">
        <f t="shared" si="5"/>
        <v>0</v>
      </c>
      <c r="V13" s="47">
        <f t="shared" si="6"/>
        <v>0</v>
      </c>
      <c r="W13" s="47">
        <f t="shared" si="6"/>
        <v>0</v>
      </c>
      <c r="X13" s="47">
        <f t="shared" si="6"/>
        <v>0</v>
      </c>
      <c r="Y13" s="47">
        <f t="shared" si="6"/>
        <v>0</v>
      </c>
      <c r="Z13" s="47">
        <f t="shared" si="6"/>
        <v>0</v>
      </c>
      <c r="AA13" s="47">
        <f t="shared" si="6"/>
        <v>0</v>
      </c>
      <c r="AB13" s="47">
        <f t="shared" si="6"/>
        <v>0</v>
      </c>
      <c r="AC13" s="47">
        <f t="shared" si="6"/>
        <v>0</v>
      </c>
      <c r="AD13" s="47">
        <f t="shared" si="6"/>
        <v>0</v>
      </c>
      <c r="AE13" s="47">
        <f t="shared" si="6"/>
        <v>0</v>
      </c>
      <c r="AF13" s="47">
        <f t="shared" si="6"/>
        <v>0</v>
      </c>
      <c r="AG13" s="47">
        <f t="shared" si="6"/>
        <v>0</v>
      </c>
      <c r="AH13" s="47"/>
      <c r="AI13" s="75">
        <f>CEILING($F$1*IF($AD$10&gt;=$I$1,1,IF($AD$10&gt;=$H$1,$AD$10/$I$1,0))*$B13*(1+IF($N$3=$C$1,IF($AD$10&gt;=$K$1,0,IF($AD$10&gt;=$J$1,0,0)),0))*$E13^(F$2-1),1)</f>
        <v>13</v>
      </c>
    </row>
    <row r="14" spans="1:38" ht="15" customHeight="1" x14ac:dyDescent="0.25">
      <c r="A14" s="70"/>
      <c r="B14" s="74"/>
      <c r="C14" s="6"/>
      <c r="D14" s="68"/>
      <c r="E14" s="64"/>
      <c r="F14" s="146" t="s">
        <v>39</v>
      </c>
      <c r="G14" s="147"/>
      <c r="H14" s="147"/>
      <c r="I14" s="49"/>
      <c r="J14" s="50"/>
      <c r="K14" s="50"/>
      <c r="L14" s="50"/>
      <c r="M14" s="50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76"/>
    </row>
    <row r="15" spans="1:38" x14ac:dyDescent="0.25">
      <c r="A15" s="70"/>
      <c r="B15" s="74"/>
      <c r="C15" s="6"/>
      <c r="D15" s="68"/>
      <c r="E15" s="64"/>
      <c r="F15" s="117" t="s">
        <v>11</v>
      </c>
      <c r="G15" s="117"/>
      <c r="H15" s="117"/>
      <c r="I15" s="36">
        <v>4</v>
      </c>
      <c r="J15" s="113" t="s">
        <v>3</v>
      </c>
      <c r="K15" s="113"/>
      <c r="L15" s="113"/>
      <c r="M15" s="113"/>
      <c r="N15" s="118" t="s">
        <v>27</v>
      </c>
      <c r="O15" s="118"/>
      <c r="P15" s="115" t="s">
        <v>1</v>
      </c>
      <c r="Q15" s="115"/>
      <c r="R15" s="115"/>
      <c r="S15" s="115"/>
      <c r="T15" s="15">
        <v>8</v>
      </c>
      <c r="U15" s="116" t="s">
        <v>37</v>
      </c>
      <c r="V15" s="116"/>
      <c r="W15" s="116"/>
      <c r="X15" s="116"/>
      <c r="Y15" s="15">
        <v>7</v>
      </c>
      <c r="Z15" s="116" t="s">
        <v>38</v>
      </c>
      <c r="AA15" s="116"/>
      <c r="AB15" s="116"/>
      <c r="AC15" s="116"/>
      <c r="AD15" s="15">
        <v>32</v>
      </c>
      <c r="AE15" s="26"/>
      <c r="AF15" s="26"/>
      <c r="AG15" s="26"/>
      <c r="AH15" s="26"/>
      <c r="AI15" s="77"/>
    </row>
    <row r="16" spans="1:38" x14ac:dyDescent="0.25">
      <c r="A16" s="70">
        <v>1</v>
      </c>
      <c r="B16" s="74">
        <f>(1+(I$15-0*$A16)/$F$1)</f>
        <v>1.25</v>
      </c>
      <c r="C16" s="16">
        <v>0</v>
      </c>
      <c r="D16" s="67">
        <f>(1+MIN(Y$15,T$15-C16-1))</f>
        <v>8</v>
      </c>
      <c r="E16" s="63">
        <f t="shared" ref="E16:E19" si="8">MAX(($G$1/($F$1*D16))^(1/(ROUNDUP(D16/3,)-1)),1)</f>
        <v>1</v>
      </c>
      <c r="F16" s="47">
        <f t="shared" ref="F16:U19" si="9">IF(CEILING($D16/3,1)&gt;=F$2,CEILING(($F$1-6)*(1+(1-MIN($A16,3))/(MIN($A16,3)+1))*IF($AD$15&gt;=$I$1,1,IF($AD$15&gt;=$H$1,0.5,0))*(1+IF($N$15=$C$1,IF($AD$15&gt;=$K$1,0,IF($AD$15&gt;=$J$1,0,0)),0))*(($D16-1)-3*(F$2-1)),1),0)</f>
        <v>70</v>
      </c>
      <c r="G16" s="47">
        <f t="shared" si="9"/>
        <v>40</v>
      </c>
      <c r="H16" s="47">
        <f t="shared" si="9"/>
        <v>10</v>
      </c>
      <c r="I16" s="47">
        <f t="shared" si="9"/>
        <v>0</v>
      </c>
      <c r="J16" s="47">
        <f t="shared" si="9"/>
        <v>0</v>
      </c>
      <c r="K16" s="47">
        <f t="shared" si="9"/>
        <v>0</v>
      </c>
      <c r="L16" s="47">
        <f t="shared" si="9"/>
        <v>0</v>
      </c>
      <c r="M16" s="47">
        <f t="shared" si="9"/>
        <v>0</v>
      </c>
      <c r="N16" s="47">
        <f t="shared" si="9"/>
        <v>0</v>
      </c>
      <c r="O16" s="47">
        <f t="shared" si="9"/>
        <v>0</v>
      </c>
      <c r="P16" s="47">
        <f t="shared" si="9"/>
        <v>0</v>
      </c>
      <c r="Q16" s="47">
        <f t="shared" si="9"/>
        <v>0</v>
      </c>
      <c r="R16" s="47">
        <f t="shared" si="9"/>
        <v>0</v>
      </c>
      <c r="S16" s="47">
        <f t="shared" si="9"/>
        <v>0</v>
      </c>
      <c r="T16" s="47">
        <f t="shared" si="9"/>
        <v>0</v>
      </c>
      <c r="U16" s="47">
        <f t="shared" si="9"/>
        <v>0</v>
      </c>
      <c r="V16" s="47">
        <f t="shared" ref="V16:AG19" si="10">IF(CEILING($D16/3,1)&gt;=V$2,CEILING(($F$1-6)*(1+(1-MIN($A16,3))/(MIN($A16,3)+1))*IF($AD$15&gt;=$I$1,1,IF($AD$15&gt;=$H$1,0.5,0))*(1+IF($N$15=$C$1,IF($AD$15&gt;=$K$1,0,IF($AD$15&gt;=$J$1,0,0)),0))*(($D16-1)-3*(V$2-1)),1),0)</f>
        <v>0</v>
      </c>
      <c r="W16" s="47">
        <f t="shared" si="10"/>
        <v>0</v>
      </c>
      <c r="X16" s="47">
        <f t="shared" si="10"/>
        <v>0</v>
      </c>
      <c r="Y16" s="47">
        <f t="shared" si="10"/>
        <v>0</v>
      </c>
      <c r="Z16" s="47">
        <f t="shared" si="10"/>
        <v>0</v>
      </c>
      <c r="AA16" s="47">
        <f t="shared" si="10"/>
        <v>0</v>
      </c>
      <c r="AB16" s="47">
        <f t="shared" si="10"/>
        <v>0</v>
      </c>
      <c r="AC16" s="47">
        <f t="shared" si="10"/>
        <v>0</v>
      </c>
      <c r="AD16" s="47">
        <f t="shared" si="10"/>
        <v>0</v>
      </c>
      <c r="AE16" s="47">
        <f t="shared" si="10"/>
        <v>0</v>
      </c>
      <c r="AF16" s="47">
        <f t="shared" si="10"/>
        <v>0</v>
      </c>
      <c r="AG16" s="47">
        <f t="shared" si="10"/>
        <v>0</v>
      </c>
      <c r="AH16" s="47"/>
      <c r="AI16" s="75">
        <f>CEILING($F$1*IF($AD$15&gt;=$I$1,1,IF($AD$15&gt;=$H$1,$AD15/$I$1,0))*$B16*(1+IF($N$3=$C$1,IF($AD$15&gt;=$K$1,0,IF($AD$15&gt;=$J$1,0,0)),0))*$E16^(F$2-1),1)</f>
        <v>20</v>
      </c>
    </row>
    <row r="17" spans="1:35" x14ac:dyDescent="0.25">
      <c r="A17" s="70">
        <v>2</v>
      </c>
      <c r="B17" s="74">
        <f>(1+(I$15-2*$A17)/$F$1)</f>
        <v>1</v>
      </c>
      <c r="C17" s="16">
        <v>0</v>
      </c>
      <c r="D17" s="67">
        <f t="shared" ref="D17:D19" si="11">(1+MIN(Y$15,T$15-C17-1))</f>
        <v>8</v>
      </c>
      <c r="E17" s="63">
        <f t="shared" si="8"/>
        <v>1</v>
      </c>
      <c r="F17" s="47">
        <f t="shared" si="9"/>
        <v>47</v>
      </c>
      <c r="G17" s="47">
        <f t="shared" si="9"/>
        <v>27</v>
      </c>
      <c r="H17" s="47">
        <f t="shared" si="9"/>
        <v>7</v>
      </c>
      <c r="I17" s="47">
        <f t="shared" si="9"/>
        <v>0</v>
      </c>
      <c r="J17" s="47">
        <f t="shared" si="9"/>
        <v>0</v>
      </c>
      <c r="K17" s="47">
        <f t="shared" si="9"/>
        <v>0</v>
      </c>
      <c r="L17" s="47">
        <f t="shared" si="9"/>
        <v>0</v>
      </c>
      <c r="M17" s="47">
        <f t="shared" si="9"/>
        <v>0</v>
      </c>
      <c r="N17" s="47">
        <f t="shared" si="9"/>
        <v>0</v>
      </c>
      <c r="O17" s="47">
        <f t="shared" si="9"/>
        <v>0</v>
      </c>
      <c r="P17" s="47">
        <f t="shared" si="9"/>
        <v>0</v>
      </c>
      <c r="Q17" s="47">
        <f t="shared" si="9"/>
        <v>0</v>
      </c>
      <c r="R17" s="47">
        <f t="shared" si="9"/>
        <v>0</v>
      </c>
      <c r="S17" s="47">
        <f t="shared" si="9"/>
        <v>0</v>
      </c>
      <c r="T17" s="47">
        <f t="shared" si="9"/>
        <v>0</v>
      </c>
      <c r="U17" s="47">
        <f t="shared" si="9"/>
        <v>0</v>
      </c>
      <c r="V17" s="47">
        <f t="shared" si="10"/>
        <v>0</v>
      </c>
      <c r="W17" s="47">
        <f t="shared" si="10"/>
        <v>0</v>
      </c>
      <c r="X17" s="47">
        <f t="shared" si="10"/>
        <v>0</v>
      </c>
      <c r="Y17" s="47">
        <f t="shared" si="10"/>
        <v>0</v>
      </c>
      <c r="Z17" s="47">
        <f t="shared" si="10"/>
        <v>0</v>
      </c>
      <c r="AA17" s="47">
        <f t="shared" si="10"/>
        <v>0</v>
      </c>
      <c r="AB17" s="47">
        <f t="shared" si="10"/>
        <v>0</v>
      </c>
      <c r="AC17" s="47">
        <f t="shared" si="10"/>
        <v>0</v>
      </c>
      <c r="AD17" s="47">
        <f t="shared" si="10"/>
        <v>0</v>
      </c>
      <c r="AE17" s="47">
        <f t="shared" si="10"/>
        <v>0</v>
      </c>
      <c r="AF17" s="47">
        <f t="shared" si="10"/>
        <v>0</v>
      </c>
      <c r="AG17" s="47">
        <f t="shared" si="10"/>
        <v>0</v>
      </c>
      <c r="AH17" s="47"/>
      <c r="AI17" s="75">
        <f>CEILING($F$1*IF($AD$15&gt;=$I$1,1,IF($AD$15&gt;=$H$1,$AD15/$I$1,0))*$B17*(1+IF($N$3=$C$1,IF($AD$15&gt;=$K$1,0,IF($AD$15&gt;=$J$1,0,0)),0))*$E17^(F$2-1),1)</f>
        <v>16</v>
      </c>
    </row>
    <row r="18" spans="1:35" x14ac:dyDescent="0.25">
      <c r="A18" s="70">
        <v>3</v>
      </c>
      <c r="B18" s="74">
        <f>(1+(I$15-2*$A18)/$F$1)</f>
        <v>0.875</v>
      </c>
      <c r="C18" s="16">
        <v>0</v>
      </c>
      <c r="D18" s="67">
        <f t="shared" si="11"/>
        <v>8</v>
      </c>
      <c r="E18" s="63">
        <f t="shared" si="8"/>
        <v>1</v>
      </c>
      <c r="F18" s="47">
        <f t="shared" si="9"/>
        <v>35</v>
      </c>
      <c r="G18" s="47">
        <f t="shared" si="9"/>
        <v>20</v>
      </c>
      <c r="H18" s="47">
        <f t="shared" si="9"/>
        <v>5</v>
      </c>
      <c r="I18" s="47">
        <f t="shared" si="9"/>
        <v>0</v>
      </c>
      <c r="J18" s="47">
        <f t="shared" si="9"/>
        <v>0</v>
      </c>
      <c r="K18" s="47">
        <f t="shared" si="9"/>
        <v>0</v>
      </c>
      <c r="L18" s="47">
        <f t="shared" si="9"/>
        <v>0</v>
      </c>
      <c r="M18" s="47">
        <f t="shared" si="9"/>
        <v>0</v>
      </c>
      <c r="N18" s="47">
        <f t="shared" si="9"/>
        <v>0</v>
      </c>
      <c r="O18" s="47">
        <f t="shared" si="9"/>
        <v>0</v>
      </c>
      <c r="P18" s="47">
        <f t="shared" si="9"/>
        <v>0</v>
      </c>
      <c r="Q18" s="47">
        <f t="shared" si="9"/>
        <v>0</v>
      </c>
      <c r="R18" s="47">
        <f t="shared" si="9"/>
        <v>0</v>
      </c>
      <c r="S18" s="47">
        <f t="shared" si="9"/>
        <v>0</v>
      </c>
      <c r="T18" s="47">
        <f t="shared" si="9"/>
        <v>0</v>
      </c>
      <c r="U18" s="47">
        <f t="shared" si="9"/>
        <v>0</v>
      </c>
      <c r="V18" s="47">
        <f t="shared" si="10"/>
        <v>0</v>
      </c>
      <c r="W18" s="47">
        <f t="shared" si="10"/>
        <v>0</v>
      </c>
      <c r="X18" s="47">
        <f t="shared" si="10"/>
        <v>0</v>
      </c>
      <c r="Y18" s="47">
        <f t="shared" si="10"/>
        <v>0</v>
      </c>
      <c r="Z18" s="47">
        <f t="shared" si="10"/>
        <v>0</v>
      </c>
      <c r="AA18" s="47">
        <f t="shared" si="10"/>
        <v>0</v>
      </c>
      <c r="AB18" s="47">
        <f t="shared" si="10"/>
        <v>0</v>
      </c>
      <c r="AC18" s="47">
        <f t="shared" si="10"/>
        <v>0</v>
      </c>
      <c r="AD18" s="47">
        <f t="shared" si="10"/>
        <v>0</v>
      </c>
      <c r="AE18" s="47">
        <f t="shared" si="10"/>
        <v>0</v>
      </c>
      <c r="AF18" s="47">
        <f t="shared" si="10"/>
        <v>0</v>
      </c>
      <c r="AG18" s="47">
        <f t="shared" si="10"/>
        <v>0</v>
      </c>
      <c r="AH18" s="47"/>
      <c r="AI18" s="75">
        <f>CEILING($F$1*IF($AD$15&gt;=$I$1,1,IF($AD$15&gt;=$H$1,$AD15/$I$1,0))*$B18*(1+IF($N$3=$C$1,IF($AD$15&gt;=$K$1,0,IF($AD$15&gt;=$J$1,0,0)),0))*$E18^(F$2-1),1)</f>
        <v>14</v>
      </c>
    </row>
    <row r="19" spans="1:35" x14ac:dyDescent="0.25">
      <c r="A19" s="70">
        <v>4</v>
      </c>
      <c r="B19" s="74">
        <f>(1+(I$15-2*$A19)/$F$1)</f>
        <v>0.75</v>
      </c>
      <c r="C19" s="16">
        <v>0</v>
      </c>
      <c r="D19" s="67">
        <f t="shared" si="11"/>
        <v>8</v>
      </c>
      <c r="E19" s="63">
        <f t="shared" si="8"/>
        <v>1</v>
      </c>
      <c r="F19" s="47">
        <f t="shared" si="9"/>
        <v>35</v>
      </c>
      <c r="G19" s="47">
        <f t="shared" si="9"/>
        <v>20</v>
      </c>
      <c r="H19" s="47">
        <f t="shared" si="9"/>
        <v>5</v>
      </c>
      <c r="I19" s="47">
        <f t="shared" si="9"/>
        <v>0</v>
      </c>
      <c r="J19" s="47">
        <f t="shared" si="9"/>
        <v>0</v>
      </c>
      <c r="K19" s="47">
        <f t="shared" si="9"/>
        <v>0</v>
      </c>
      <c r="L19" s="47">
        <f t="shared" si="9"/>
        <v>0</v>
      </c>
      <c r="M19" s="47">
        <f t="shared" si="9"/>
        <v>0</v>
      </c>
      <c r="N19" s="47">
        <f t="shared" si="9"/>
        <v>0</v>
      </c>
      <c r="O19" s="47">
        <f t="shared" si="9"/>
        <v>0</v>
      </c>
      <c r="P19" s="47">
        <f t="shared" si="9"/>
        <v>0</v>
      </c>
      <c r="Q19" s="47">
        <f t="shared" si="9"/>
        <v>0</v>
      </c>
      <c r="R19" s="47">
        <f t="shared" si="9"/>
        <v>0</v>
      </c>
      <c r="S19" s="47">
        <f t="shared" si="9"/>
        <v>0</v>
      </c>
      <c r="T19" s="47">
        <f t="shared" si="9"/>
        <v>0</v>
      </c>
      <c r="U19" s="47">
        <f t="shared" si="9"/>
        <v>0</v>
      </c>
      <c r="V19" s="47">
        <f t="shared" si="10"/>
        <v>0</v>
      </c>
      <c r="W19" s="47">
        <f t="shared" si="10"/>
        <v>0</v>
      </c>
      <c r="X19" s="47">
        <f t="shared" si="10"/>
        <v>0</v>
      </c>
      <c r="Y19" s="47">
        <f t="shared" si="10"/>
        <v>0</v>
      </c>
      <c r="Z19" s="47">
        <f t="shared" si="10"/>
        <v>0</v>
      </c>
      <c r="AA19" s="47">
        <f t="shared" si="10"/>
        <v>0</v>
      </c>
      <c r="AB19" s="47">
        <f t="shared" si="10"/>
        <v>0</v>
      </c>
      <c r="AC19" s="47">
        <f t="shared" si="10"/>
        <v>0</v>
      </c>
      <c r="AD19" s="47">
        <f t="shared" si="10"/>
        <v>0</v>
      </c>
      <c r="AE19" s="47">
        <f t="shared" si="10"/>
        <v>0</v>
      </c>
      <c r="AF19" s="47">
        <f t="shared" si="10"/>
        <v>0</v>
      </c>
      <c r="AG19" s="47">
        <f t="shared" si="10"/>
        <v>0</v>
      </c>
      <c r="AH19" s="47"/>
      <c r="AI19" s="75">
        <f>CEILING($F$1*IF($AD$15&gt;=$I$1,1,IF($AD$15&gt;=$H$1,$AD15/$I$1,0))*$B19*(1+IF($N$3=$C$1,IF($AD$15&gt;=$K$1,0,IF($AD$15&gt;=$J$1,0,0)),0))*$E19^(F$2-1),1)</f>
        <v>12</v>
      </c>
    </row>
    <row r="20" spans="1:35" ht="15" customHeight="1" thickBot="1" x14ac:dyDescent="0.3">
      <c r="A20" s="70"/>
      <c r="B20" s="74"/>
      <c r="C20" s="6"/>
      <c r="D20" s="68"/>
      <c r="E20" s="64"/>
      <c r="F20" s="146" t="s">
        <v>39</v>
      </c>
      <c r="G20" s="147"/>
      <c r="H20" s="147"/>
      <c r="I20" s="49"/>
      <c r="J20" s="50"/>
      <c r="K20" s="50"/>
      <c r="L20" s="50"/>
      <c r="M20" s="50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76"/>
    </row>
    <row r="21" spans="1:35" ht="15.75" thickBot="1" x14ac:dyDescent="0.3">
      <c r="A21" s="70"/>
      <c r="B21" s="74"/>
      <c r="C21" s="6"/>
      <c r="D21" s="68"/>
      <c r="E21" s="64"/>
      <c r="F21" s="117" t="s">
        <v>11</v>
      </c>
      <c r="G21" s="117"/>
      <c r="H21" s="117"/>
      <c r="I21" s="78">
        <v>5</v>
      </c>
      <c r="J21" s="113" t="s">
        <v>3</v>
      </c>
      <c r="K21" s="113"/>
      <c r="L21" s="113"/>
      <c r="M21" s="113"/>
      <c r="N21" s="118" t="s">
        <v>27</v>
      </c>
      <c r="O21" s="118"/>
      <c r="P21" s="115" t="s">
        <v>1</v>
      </c>
      <c r="Q21" s="115"/>
      <c r="R21" s="115"/>
      <c r="S21" s="115"/>
      <c r="T21" s="15">
        <v>8</v>
      </c>
      <c r="U21" s="116" t="s">
        <v>37</v>
      </c>
      <c r="V21" s="116"/>
      <c r="W21" s="116"/>
      <c r="X21" s="116"/>
      <c r="Y21" s="15">
        <v>7</v>
      </c>
      <c r="Z21" s="116" t="s">
        <v>38</v>
      </c>
      <c r="AA21" s="116"/>
      <c r="AB21" s="116"/>
      <c r="AC21" s="116"/>
      <c r="AD21" s="15">
        <v>32</v>
      </c>
      <c r="AE21" s="26"/>
      <c r="AF21" s="26"/>
      <c r="AG21" s="26"/>
      <c r="AH21" s="26"/>
      <c r="AI21" s="77"/>
    </row>
    <row r="22" spans="1:35" x14ac:dyDescent="0.25">
      <c r="A22" s="70">
        <v>1</v>
      </c>
      <c r="B22" s="74">
        <f>(1+(I$21-0*$A22)/$F$1)</f>
        <v>1.3125</v>
      </c>
      <c r="C22" s="16">
        <v>0</v>
      </c>
      <c r="D22" s="67">
        <f>(1+MIN(Y$21,T$21-C22-1))</f>
        <v>8</v>
      </c>
      <c r="E22" s="63">
        <f t="shared" ref="E22:E25" si="12">MAX(($G$1/($F$1*D22))^(1/(ROUNDUP(D22/3,)-1)),1)</f>
        <v>1</v>
      </c>
      <c r="F22" s="47">
        <f t="shared" ref="F22:U26" si="13">IF(CEILING($D22/3,1)&gt;=F$2,CEILING(($F$1-6)*(1+(1-MIN($A22,3))/(MIN($A22,3)+1))*IF($AD$21&gt;=$I$1,1,IF($AD$21&gt;=$H$1,0.5,0))*(1+IF($N$21=$C$1,IF($AD$21&gt;=$K$1,0,IF($AD$21&gt;=$J$1,0,0)),0))*(($D22-1)-3*(F$2-1)),1),0)</f>
        <v>70</v>
      </c>
      <c r="G22" s="47">
        <f t="shared" si="13"/>
        <v>40</v>
      </c>
      <c r="H22" s="47">
        <f t="shared" si="13"/>
        <v>10</v>
      </c>
      <c r="I22" s="47">
        <f t="shared" si="13"/>
        <v>0</v>
      </c>
      <c r="J22" s="47">
        <f t="shared" si="13"/>
        <v>0</v>
      </c>
      <c r="K22" s="47">
        <f t="shared" si="13"/>
        <v>0</v>
      </c>
      <c r="L22" s="47">
        <f t="shared" si="13"/>
        <v>0</v>
      </c>
      <c r="M22" s="47">
        <f t="shared" si="13"/>
        <v>0</v>
      </c>
      <c r="N22" s="47">
        <f t="shared" si="13"/>
        <v>0</v>
      </c>
      <c r="O22" s="47">
        <f t="shared" si="13"/>
        <v>0</v>
      </c>
      <c r="P22" s="47">
        <f t="shared" si="13"/>
        <v>0</v>
      </c>
      <c r="Q22" s="47">
        <f t="shared" si="13"/>
        <v>0</v>
      </c>
      <c r="R22" s="47">
        <f t="shared" si="13"/>
        <v>0</v>
      </c>
      <c r="S22" s="47">
        <f t="shared" si="13"/>
        <v>0</v>
      </c>
      <c r="T22" s="47">
        <f t="shared" si="13"/>
        <v>0</v>
      </c>
      <c r="U22" s="47">
        <f t="shared" si="13"/>
        <v>0</v>
      </c>
      <c r="V22" s="47">
        <f t="shared" ref="V22:AG26" si="14">IF(CEILING($D22/3,1)&gt;=V$2,CEILING(($F$1-6)*(1+(1-MIN($A22,3))/(MIN($A22,3)+1))*IF($AD$21&gt;=$I$1,1,IF($AD$21&gt;=$H$1,0.5,0))*(1+IF($N$21=$C$1,IF($AD$21&gt;=$K$1,0,IF($AD$21&gt;=$J$1,0,0)),0))*(($D22-1)-3*(V$2-1)),1),0)</f>
        <v>0</v>
      </c>
      <c r="W22" s="47">
        <f t="shared" si="14"/>
        <v>0</v>
      </c>
      <c r="X22" s="47">
        <f t="shared" si="14"/>
        <v>0</v>
      </c>
      <c r="Y22" s="47">
        <f t="shared" si="14"/>
        <v>0</v>
      </c>
      <c r="Z22" s="47">
        <f t="shared" si="14"/>
        <v>0</v>
      </c>
      <c r="AA22" s="47">
        <f t="shared" si="14"/>
        <v>0</v>
      </c>
      <c r="AB22" s="47">
        <f t="shared" si="14"/>
        <v>0</v>
      </c>
      <c r="AC22" s="47">
        <f t="shared" si="14"/>
        <v>0</v>
      </c>
      <c r="AD22" s="47">
        <f t="shared" si="14"/>
        <v>0</v>
      </c>
      <c r="AE22" s="47">
        <f t="shared" si="14"/>
        <v>0</v>
      </c>
      <c r="AF22" s="47">
        <f t="shared" si="14"/>
        <v>0</v>
      </c>
      <c r="AG22" s="47">
        <f t="shared" si="14"/>
        <v>0</v>
      </c>
      <c r="AH22" s="47"/>
      <c r="AI22" s="75">
        <f>CEILING($F$1*IF($AD$21&gt;=$I$1,1,IF($AD$21&gt;=$H$1,$AD21/$I$1,0))*$B22*(1+IF($N$3=$C$1,IF($AD$21&gt;=$K$1,0,IF($AD$21&gt;=$J$1,0,0)),0))*$E22^(F$2-1),1)</f>
        <v>21</v>
      </c>
    </row>
    <row r="23" spans="1:35" x14ac:dyDescent="0.25">
      <c r="A23" s="70">
        <v>2</v>
      </c>
      <c r="B23" s="74">
        <f>(1+(I$21-2*$A23)/$F$1)</f>
        <v>1.0625</v>
      </c>
      <c r="C23" s="16">
        <v>0</v>
      </c>
      <c r="D23" s="67">
        <f t="shared" ref="D23:D26" si="15">(1+MIN(Y$21,T$21-C23-1))</f>
        <v>8</v>
      </c>
      <c r="E23" s="63">
        <f t="shared" si="12"/>
        <v>1</v>
      </c>
      <c r="F23" s="47">
        <f t="shared" si="13"/>
        <v>47</v>
      </c>
      <c r="G23" s="47">
        <f t="shared" si="13"/>
        <v>27</v>
      </c>
      <c r="H23" s="47">
        <f t="shared" si="13"/>
        <v>7</v>
      </c>
      <c r="I23" s="47">
        <f t="shared" si="13"/>
        <v>0</v>
      </c>
      <c r="J23" s="47">
        <f t="shared" si="13"/>
        <v>0</v>
      </c>
      <c r="K23" s="47">
        <f t="shared" si="13"/>
        <v>0</v>
      </c>
      <c r="L23" s="47">
        <f t="shared" si="13"/>
        <v>0</v>
      </c>
      <c r="M23" s="47">
        <f t="shared" si="13"/>
        <v>0</v>
      </c>
      <c r="N23" s="47">
        <f t="shared" si="13"/>
        <v>0</v>
      </c>
      <c r="O23" s="47">
        <f t="shared" si="13"/>
        <v>0</v>
      </c>
      <c r="P23" s="47">
        <f t="shared" si="13"/>
        <v>0</v>
      </c>
      <c r="Q23" s="47">
        <f t="shared" si="13"/>
        <v>0</v>
      </c>
      <c r="R23" s="47">
        <f t="shared" si="13"/>
        <v>0</v>
      </c>
      <c r="S23" s="47">
        <f t="shared" si="13"/>
        <v>0</v>
      </c>
      <c r="T23" s="47">
        <f t="shared" si="13"/>
        <v>0</v>
      </c>
      <c r="U23" s="47">
        <f t="shared" si="13"/>
        <v>0</v>
      </c>
      <c r="V23" s="47">
        <f t="shared" si="14"/>
        <v>0</v>
      </c>
      <c r="W23" s="47">
        <f t="shared" si="14"/>
        <v>0</v>
      </c>
      <c r="X23" s="47">
        <f t="shared" si="14"/>
        <v>0</v>
      </c>
      <c r="Y23" s="47">
        <f t="shared" si="14"/>
        <v>0</v>
      </c>
      <c r="Z23" s="47">
        <f t="shared" si="14"/>
        <v>0</v>
      </c>
      <c r="AA23" s="47">
        <f t="shared" si="14"/>
        <v>0</v>
      </c>
      <c r="AB23" s="47">
        <f t="shared" si="14"/>
        <v>0</v>
      </c>
      <c r="AC23" s="47">
        <f t="shared" si="14"/>
        <v>0</v>
      </c>
      <c r="AD23" s="47">
        <f t="shared" si="14"/>
        <v>0</v>
      </c>
      <c r="AE23" s="47">
        <f t="shared" si="14"/>
        <v>0</v>
      </c>
      <c r="AF23" s="47">
        <f t="shared" si="14"/>
        <v>0</v>
      </c>
      <c r="AG23" s="47">
        <f t="shared" si="14"/>
        <v>0</v>
      </c>
      <c r="AH23" s="47"/>
      <c r="AI23" s="75">
        <f>CEILING($F$1*IF($AD$21&gt;=$I$1,1,IF($AD$21&gt;=$H$1,$AD21/$I$1,0))*$B23*(1+IF($N$3=$C$1,IF($AD$21&gt;=$K$1,0,IF($AD$21&gt;=$J$1,0,0)),0))*$E23^(F$2-1),1)</f>
        <v>17</v>
      </c>
    </row>
    <row r="24" spans="1:35" x14ac:dyDescent="0.25">
      <c r="A24" s="70">
        <v>3</v>
      </c>
      <c r="B24" s="74">
        <f>(1+(I$21-2*$A24)/$F$1)</f>
        <v>0.9375</v>
      </c>
      <c r="C24" s="16">
        <v>0</v>
      </c>
      <c r="D24" s="67">
        <f t="shared" si="15"/>
        <v>8</v>
      </c>
      <c r="E24" s="63">
        <f t="shared" si="12"/>
        <v>1</v>
      </c>
      <c r="F24" s="47">
        <f t="shared" si="13"/>
        <v>35</v>
      </c>
      <c r="G24" s="47">
        <f t="shared" si="13"/>
        <v>20</v>
      </c>
      <c r="H24" s="47">
        <f t="shared" si="13"/>
        <v>5</v>
      </c>
      <c r="I24" s="47">
        <f t="shared" si="13"/>
        <v>0</v>
      </c>
      <c r="J24" s="47">
        <f t="shared" si="13"/>
        <v>0</v>
      </c>
      <c r="K24" s="47">
        <f t="shared" si="13"/>
        <v>0</v>
      </c>
      <c r="L24" s="47">
        <f t="shared" si="13"/>
        <v>0</v>
      </c>
      <c r="M24" s="47">
        <f t="shared" si="13"/>
        <v>0</v>
      </c>
      <c r="N24" s="47">
        <f t="shared" si="13"/>
        <v>0</v>
      </c>
      <c r="O24" s="47">
        <f t="shared" si="13"/>
        <v>0</v>
      </c>
      <c r="P24" s="47">
        <f t="shared" si="13"/>
        <v>0</v>
      </c>
      <c r="Q24" s="47">
        <f t="shared" si="13"/>
        <v>0</v>
      </c>
      <c r="R24" s="47">
        <f t="shared" si="13"/>
        <v>0</v>
      </c>
      <c r="S24" s="47">
        <f t="shared" si="13"/>
        <v>0</v>
      </c>
      <c r="T24" s="47">
        <f t="shared" si="13"/>
        <v>0</v>
      </c>
      <c r="U24" s="47">
        <f t="shared" si="13"/>
        <v>0</v>
      </c>
      <c r="V24" s="47">
        <f t="shared" si="14"/>
        <v>0</v>
      </c>
      <c r="W24" s="47">
        <f t="shared" si="14"/>
        <v>0</v>
      </c>
      <c r="X24" s="47">
        <f t="shared" si="14"/>
        <v>0</v>
      </c>
      <c r="Y24" s="47">
        <f t="shared" si="14"/>
        <v>0</v>
      </c>
      <c r="Z24" s="47">
        <f t="shared" si="14"/>
        <v>0</v>
      </c>
      <c r="AA24" s="47">
        <f t="shared" si="14"/>
        <v>0</v>
      </c>
      <c r="AB24" s="47">
        <f t="shared" si="14"/>
        <v>0</v>
      </c>
      <c r="AC24" s="47">
        <f t="shared" si="14"/>
        <v>0</v>
      </c>
      <c r="AD24" s="47">
        <f t="shared" si="14"/>
        <v>0</v>
      </c>
      <c r="AE24" s="47">
        <f t="shared" si="14"/>
        <v>0</v>
      </c>
      <c r="AF24" s="47">
        <f t="shared" si="14"/>
        <v>0</v>
      </c>
      <c r="AG24" s="47">
        <f t="shared" si="14"/>
        <v>0</v>
      </c>
      <c r="AH24" s="47"/>
      <c r="AI24" s="75">
        <f>CEILING($F$1*IF($AD$21&gt;=$I$1,1,IF($AD$21&gt;=$H$1,$AD21/$I$1,0))*$B24*(1+IF($N$3=$C$1,IF($AD$21&gt;=$K$1,0,IF($AD$21&gt;=$J$1,0,0)),0))*$E24^(F$2-1),1)</f>
        <v>15</v>
      </c>
    </row>
    <row r="25" spans="1:35" x14ac:dyDescent="0.25">
      <c r="A25" s="70">
        <v>4</v>
      </c>
      <c r="B25" s="74">
        <f>(1+(I$21-2*$A25)/$F$1)</f>
        <v>0.8125</v>
      </c>
      <c r="C25" s="16">
        <v>0</v>
      </c>
      <c r="D25" s="67">
        <f t="shared" si="15"/>
        <v>8</v>
      </c>
      <c r="E25" s="63">
        <f t="shared" si="12"/>
        <v>1</v>
      </c>
      <c r="F25" s="47">
        <f t="shared" si="13"/>
        <v>35</v>
      </c>
      <c r="G25" s="47">
        <f t="shared" si="13"/>
        <v>20</v>
      </c>
      <c r="H25" s="47">
        <f t="shared" si="13"/>
        <v>5</v>
      </c>
      <c r="I25" s="47">
        <f t="shared" si="13"/>
        <v>0</v>
      </c>
      <c r="J25" s="47">
        <f t="shared" si="13"/>
        <v>0</v>
      </c>
      <c r="K25" s="47">
        <f t="shared" si="13"/>
        <v>0</v>
      </c>
      <c r="L25" s="47">
        <f t="shared" si="13"/>
        <v>0</v>
      </c>
      <c r="M25" s="47">
        <f t="shared" si="13"/>
        <v>0</v>
      </c>
      <c r="N25" s="47">
        <f t="shared" si="13"/>
        <v>0</v>
      </c>
      <c r="O25" s="47">
        <f t="shared" si="13"/>
        <v>0</v>
      </c>
      <c r="P25" s="47">
        <f t="shared" si="13"/>
        <v>0</v>
      </c>
      <c r="Q25" s="47">
        <f t="shared" si="13"/>
        <v>0</v>
      </c>
      <c r="R25" s="47">
        <f t="shared" si="13"/>
        <v>0</v>
      </c>
      <c r="S25" s="47">
        <f t="shared" si="13"/>
        <v>0</v>
      </c>
      <c r="T25" s="47">
        <f t="shared" si="13"/>
        <v>0</v>
      </c>
      <c r="U25" s="47">
        <f t="shared" si="13"/>
        <v>0</v>
      </c>
      <c r="V25" s="47">
        <f t="shared" si="14"/>
        <v>0</v>
      </c>
      <c r="W25" s="47">
        <f t="shared" si="14"/>
        <v>0</v>
      </c>
      <c r="X25" s="47">
        <f t="shared" si="14"/>
        <v>0</v>
      </c>
      <c r="Y25" s="47">
        <f t="shared" si="14"/>
        <v>0</v>
      </c>
      <c r="Z25" s="47">
        <f t="shared" si="14"/>
        <v>0</v>
      </c>
      <c r="AA25" s="47">
        <f t="shared" si="14"/>
        <v>0</v>
      </c>
      <c r="AB25" s="47">
        <f t="shared" si="14"/>
        <v>0</v>
      </c>
      <c r="AC25" s="47">
        <f t="shared" si="14"/>
        <v>0</v>
      </c>
      <c r="AD25" s="47">
        <f t="shared" si="14"/>
        <v>0</v>
      </c>
      <c r="AE25" s="47">
        <f t="shared" si="14"/>
        <v>0</v>
      </c>
      <c r="AF25" s="47">
        <f t="shared" si="14"/>
        <v>0</v>
      </c>
      <c r="AG25" s="47">
        <f t="shared" si="14"/>
        <v>0</v>
      </c>
      <c r="AH25" s="47"/>
      <c r="AI25" s="75">
        <f>CEILING($F$1*IF($AD$21&gt;=$I$1,1,IF($AD$21&gt;=$H$1,$AD21/$I$1,0))*$B25*(1+IF($N$3=$C$1,IF($AD$21&gt;=$K$1,0,IF($AD$21&gt;=$J$1,0,0)),0))*$E25^(F$2-1),1)</f>
        <v>13</v>
      </c>
    </row>
    <row r="26" spans="1:35" x14ac:dyDescent="0.25">
      <c r="A26" s="59">
        <v>5</v>
      </c>
      <c r="B26" s="79">
        <f>(1+(I$21-2*$A26)/$F$1)</f>
        <v>0.6875</v>
      </c>
      <c r="C26" s="17">
        <v>0</v>
      </c>
      <c r="D26" s="69">
        <f t="shared" si="15"/>
        <v>8</v>
      </c>
      <c r="E26" s="65">
        <f>MAX(($G$1/($F$1*D26))^(1/(ROUNDUP(D26/3,)-1)),1)</f>
        <v>1</v>
      </c>
      <c r="F26" s="47">
        <f t="shared" si="13"/>
        <v>35</v>
      </c>
      <c r="G26" s="47">
        <f t="shared" si="13"/>
        <v>20</v>
      </c>
      <c r="H26" s="47">
        <f t="shared" si="13"/>
        <v>5</v>
      </c>
      <c r="I26" s="47">
        <f t="shared" si="13"/>
        <v>0</v>
      </c>
      <c r="J26" s="47">
        <f t="shared" si="13"/>
        <v>0</v>
      </c>
      <c r="K26" s="47">
        <f t="shared" si="13"/>
        <v>0</v>
      </c>
      <c r="L26" s="47">
        <f t="shared" si="13"/>
        <v>0</v>
      </c>
      <c r="M26" s="47">
        <f t="shared" si="13"/>
        <v>0</v>
      </c>
      <c r="N26" s="47">
        <f t="shared" si="13"/>
        <v>0</v>
      </c>
      <c r="O26" s="47">
        <f t="shared" si="13"/>
        <v>0</v>
      </c>
      <c r="P26" s="47">
        <f t="shared" si="13"/>
        <v>0</v>
      </c>
      <c r="Q26" s="47">
        <f t="shared" si="13"/>
        <v>0</v>
      </c>
      <c r="R26" s="47">
        <f t="shared" si="13"/>
        <v>0</v>
      </c>
      <c r="S26" s="47">
        <f t="shared" si="13"/>
        <v>0</v>
      </c>
      <c r="T26" s="47">
        <f t="shared" si="13"/>
        <v>0</v>
      </c>
      <c r="U26" s="47">
        <f t="shared" si="13"/>
        <v>0</v>
      </c>
      <c r="V26" s="47">
        <f t="shared" si="14"/>
        <v>0</v>
      </c>
      <c r="W26" s="47">
        <f t="shared" si="14"/>
        <v>0</v>
      </c>
      <c r="X26" s="47">
        <f t="shared" si="14"/>
        <v>0</v>
      </c>
      <c r="Y26" s="47">
        <f t="shared" si="14"/>
        <v>0</v>
      </c>
      <c r="Z26" s="47">
        <f t="shared" si="14"/>
        <v>0</v>
      </c>
      <c r="AA26" s="47">
        <f t="shared" si="14"/>
        <v>0</v>
      </c>
      <c r="AB26" s="47">
        <f t="shared" si="14"/>
        <v>0</v>
      </c>
      <c r="AC26" s="47">
        <f t="shared" si="14"/>
        <v>0</v>
      </c>
      <c r="AD26" s="47">
        <f t="shared" si="14"/>
        <v>0</v>
      </c>
      <c r="AE26" s="47">
        <f t="shared" si="14"/>
        <v>0</v>
      </c>
      <c r="AF26" s="47">
        <f t="shared" si="14"/>
        <v>0</v>
      </c>
      <c r="AG26" s="47">
        <f t="shared" si="14"/>
        <v>0</v>
      </c>
      <c r="AH26" s="47"/>
      <c r="AI26" s="75">
        <f>CEILING($F$1*IF($AD$21&gt;=$I$1,1,IF($AD$21&gt;=$H$1,$AD21/$I$1,0))*$B26*(1+IF($N$3=$C$1,IF($AD$21&gt;=$K$1,0,IF($AD$21&gt;=$J$1,0,0)),0))*$E26^(F$2-1),1)</f>
        <v>11</v>
      </c>
    </row>
    <row r="27" spans="1:35" ht="15" customHeight="1" x14ac:dyDescent="0.25">
      <c r="A27" s="12"/>
      <c r="B27" s="9"/>
      <c r="C27" s="9"/>
      <c r="D27" s="9"/>
      <c r="E27" s="9"/>
      <c r="F27" s="143" t="s">
        <v>40</v>
      </c>
      <c r="G27" s="144"/>
      <c r="H27" s="144"/>
      <c r="I27" s="9"/>
      <c r="J27" s="10"/>
      <c r="K27" s="10"/>
      <c r="L27" s="10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44" t="s">
        <v>41</v>
      </c>
      <c r="AI27" s="145"/>
    </row>
    <row r="28" spans="1:35" x14ac:dyDescent="0.25">
      <c r="A28" s="72" t="s">
        <v>14</v>
      </c>
    </row>
    <row r="29" spans="1:35" x14ac:dyDescent="0.25">
      <c r="C29" s="119" t="s">
        <v>42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</row>
    <row r="30" spans="1:35" x14ac:dyDescent="0.25">
      <c r="C30" s="104" t="s">
        <v>43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</row>
    <row r="31" spans="1:35" x14ac:dyDescent="0.25">
      <c r="C31" s="104" t="s">
        <v>44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</row>
    <row r="32" spans="1:35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33" spans="3:4" x14ac:dyDescent="0.25">
      <c r="C33" s="72"/>
      <c r="D33" s="72"/>
    </row>
    <row r="34" spans="3:4" x14ac:dyDescent="0.25">
      <c r="C34" s="72"/>
      <c r="D34" s="72"/>
    </row>
    <row r="35" spans="3:4" x14ac:dyDescent="0.25">
      <c r="C35" s="72"/>
      <c r="D35" s="72"/>
    </row>
    <row r="36" spans="3:4" x14ac:dyDescent="0.25">
      <c r="C36" s="72"/>
      <c r="D36" s="72"/>
    </row>
    <row r="37" spans="3:4" x14ac:dyDescent="0.25">
      <c r="C37" s="72"/>
      <c r="D37" s="72"/>
    </row>
    <row r="38" spans="3:4" x14ac:dyDescent="0.25">
      <c r="C38" s="72"/>
      <c r="D38" s="72"/>
    </row>
    <row r="39" spans="3:4" x14ac:dyDescent="0.25">
      <c r="C39" s="72"/>
      <c r="D39" s="72"/>
    </row>
    <row r="40" spans="3:4" x14ac:dyDescent="0.25">
      <c r="C40" s="72"/>
      <c r="D40" s="72"/>
    </row>
    <row r="41" spans="3:4" x14ac:dyDescent="0.25">
      <c r="C41" s="72"/>
      <c r="D41" s="72"/>
    </row>
    <row r="42" spans="3:4" x14ac:dyDescent="0.25">
      <c r="C42" s="72"/>
      <c r="D42" s="72"/>
    </row>
    <row r="43" spans="3:4" x14ac:dyDescent="0.25">
      <c r="C43" s="72"/>
      <c r="D43" s="72"/>
    </row>
    <row r="44" spans="3:4" x14ac:dyDescent="0.25">
      <c r="C44" s="72"/>
      <c r="D44" s="72"/>
    </row>
    <row r="45" spans="3:4" x14ac:dyDescent="0.25">
      <c r="C45" s="72"/>
      <c r="D45" s="72"/>
    </row>
    <row r="46" spans="3:4" x14ac:dyDescent="0.25">
      <c r="C46" s="72"/>
      <c r="D46" s="72"/>
    </row>
    <row r="47" spans="3:4" x14ac:dyDescent="0.25">
      <c r="C47" s="72"/>
      <c r="D47" s="72"/>
    </row>
    <row r="48" spans="3:4" x14ac:dyDescent="0.25">
      <c r="C48" s="72"/>
      <c r="D48" s="72"/>
    </row>
    <row r="59" spans="1:4" x14ac:dyDescent="0.25">
      <c r="A59" s="1"/>
      <c r="B59" s="1"/>
      <c r="D59" s="72"/>
    </row>
    <row r="60" spans="1:4" x14ac:dyDescent="0.25">
      <c r="C60" s="2"/>
      <c r="D60" s="72"/>
    </row>
  </sheetData>
  <sheetProtection password="C4EE" sheet="1" objects="1" scenarios="1"/>
  <mergeCells count="45">
    <mergeCell ref="N1:W1"/>
    <mergeCell ref="A2:B2"/>
    <mergeCell ref="C2:D2"/>
    <mergeCell ref="AH2:AI2"/>
    <mergeCell ref="A3:B3"/>
    <mergeCell ref="F3:H3"/>
    <mergeCell ref="J3:M3"/>
    <mergeCell ref="N3:O3"/>
    <mergeCell ref="P3:S3"/>
    <mergeCell ref="U3:X3"/>
    <mergeCell ref="Z3:AC3"/>
    <mergeCell ref="F5:H5"/>
    <mergeCell ref="F6:H6"/>
    <mergeCell ref="J6:M6"/>
    <mergeCell ref="N6:O6"/>
    <mergeCell ref="P6:S6"/>
    <mergeCell ref="U6:X6"/>
    <mergeCell ref="Z6:AC6"/>
    <mergeCell ref="F9:H9"/>
    <mergeCell ref="F10:H10"/>
    <mergeCell ref="J10:M10"/>
    <mergeCell ref="N10:O10"/>
    <mergeCell ref="P10:S10"/>
    <mergeCell ref="Z10:AC10"/>
    <mergeCell ref="U15:X15"/>
    <mergeCell ref="Z15:AC15"/>
    <mergeCell ref="U10:X10"/>
    <mergeCell ref="F20:H20"/>
    <mergeCell ref="F21:H21"/>
    <mergeCell ref="J21:M21"/>
    <mergeCell ref="N21:O21"/>
    <mergeCell ref="P21:S21"/>
    <mergeCell ref="F14:H14"/>
    <mergeCell ref="F15:H15"/>
    <mergeCell ref="J15:M15"/>
    <mergeCell ref="N15:O15"/>
    <mergeCell ref="P15:S15"/>
    <mergeCell ref="C32:AH32"/>
    <mergeCell ref="Z21:AC21"/>
    <mergeCell ref="F27:H27"/>
    <mergeCell ref="AH27:AI27"/>
    <mergeCell ref="C29:AH29"/>
    <mergeCell ref="C30:AH30"/>
    <mergeCell ref="C31:AH31"/>
    <mergeCell ref="U21:X21"/>
  </mergeCells>
  <conditionalFormatting sqref="F4:AI4">
    <cfRule type="cellIs" dxfId="14" priority="5" operator="equal">
      <formula>0</formula>
    </cfRule>
  </conditionalFormatting>
  <conditionalFormatting sqref="F7:AI8">
    <cfRule type="cellIs" dxfId="13" priority="4" operator="equal">
      <formula>0</formula>
    </cfRule>
  </conditionalFormatting>
  <conditionalFormatting sqref="F11:AI13">
    <cfRule type="cellIs" dxfId="12" priority="3" operator="equal">
      <formula>0</formula>
    </cfRule>
  </conditionalFormatting>
  <conditionalFormatting sqref="F16:AI19">
    <cfRule type="cellIs" dxfId="11" priority="2" operator="equal">
      <formula>0</formula>
    </cfRule>
  </conditionalFormatting>
  <conditionalFormatting sqref="F22:AI26">
    <cfRule type="cellIs" dxfId="10" priority="1" operator="equal">
      <formula>0</formula>
    </cfRule>
  </conditionalFormatting>
  <dataValidations xWindow="410" yWindow="635" count="8">
    <dataValidation type="list" showInputMessage="1" showErrorMessage="1" errorTitle="Arrangør" error="Intet valg: Alle" promptTitle="Arrangør" prompt="Alle arrangører har samme muligheder." sqref="N3:O3 N21:O21 N15:O15 N10:O10 N6:O6">
      <formula1>$C$1:$C$1</formula1>
    </dataValidation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allowBlank="1" showInputMessage="1" showErrorMessage="1" promptTitle="Flere end 5" prompt="Bonus ændres ikke, men BP for kampen ændres (helt til højre)" sqref="I21"/>
    <dataValidation type="whole" operator="greaterThanOrEqual" allowBlank="1" showInputMessage="1" showErrorMessage="1" errorTitle="Fejl" error="Kun postive heltal" promptTitle="Minimum" prompt="Mindst 4 deltagere,  hvis bonus" sqref="T3 T6 T10 T15 T21">
      <formula1>4</formula1>
    </dataValidation>
    <dataValidation allowBlank="1" showInputMessage="1" showErrorMessage="1" promptTitle="&quot;dnul&quot;" prompt="Det beregnede antal deltagere" sqref="D4 D7:D8 D11:D13 D16:D19 D22:D26"/>
    <dataValidation allowBlank="1" showInputMessage="1" showErrorMessage="1" promptTitle="BP pr. spiller" prompt="BP såfremt spilleren har spillet hele kampen." sqref="AI4 AI7:AI8 AI11:AI13 AI16:AI19 AI22:AI26"/>
    <dataValidation allowBlank="1" showInputMessage="1" showErrorMessage="1" promptTitle="Q-værdi" prompt="Q = 1, fordi holdet kun har 1 modstander i hele kampen." sqref="E4 E7:E8 E11:E13 E16:E19 E22:E26"/>
    <dataValidation type="whole" operator="greaterThan" allowBlank="1" showInputMessage="1" showErrorMessage="1" errorTitle="Fejl" error="Kun postive heltal" sqref="AD21 AD15 AD10 AD6 AD3 Y21 Y15 Y10 Y6 Y3">
      <formula1>0</formula1>
    </dataValidation>
  </dataValidations>
  <pageMargins left="0.31496062992125984" right="0.31496062992125984" top="1.7322834645669292" bottom="0.74803149606299213" header="0.31496062992125984" footer="0.31496062992125984"/>
  <pageSetup paperSize="9" scale="87" orientation="landscape" horizontalDpi="4294967295" verticalDpi="4294967295" r:id="rId1"/>
  <headerFooter>
    <oddHeader>&amp;L&amp;G&amp;C&amp;20Bronzepoint i holdturneringer&amp;RVersion 1.0</oddHeader>
    <oddFooter>&amp;CUdskrevet: &amp;D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zoomScaleNormal="100" workbookViewId="0">
      <selection activeCell="N3" sqref="N3:O3"/>
    </sheetView>
  </sheetViews>
  <sheetFormatPr defaultRowHeight="15" x14ac:dyDescent="0.25"/>
  <cols>
    <col min="1" max="1" width="2.28515625" style="72" customWidth="1"/>
    <col min="2" max="2" width="5.28515625" style="72" customWidth="1"/>
    <col min="3" max="3" width="5.7109375" style="1" customWidth="1"/>
    <col min="4" max="4" width="4.7109375" style="71" customWidth="1"/>
    <col min="5" max="5" width="9.140625" style="72" customWidth="1"/>
    <col min="6" max="7" width="5.7109375" style="72" customWidth="1"/>
    <col min="8" max="13" width="4.7109375" style="72" customWidth="1"/>
    <col min="14" max="35" width="4.28515625" style="72" customWidth="1"/>
    <col min="36" max="16384" width="9.140625" style="72"/>
  </cols>
  <sheetData>
    <row r="1" spans="1:35" x14ac:dyDescent="0.25">
      <c r="A1" s="20">
        <v>0</v>
      </c>
      <c r="B1" s="20">
        <v>1</v>
      </c>
      <c r="C1" s="18" t="s">
        <v>45</v>
      </c>
      <c r="D1" s="19" t="s">
        <v>46</v>
      </c>
      <c r="E1" s="21" t="s">
        <v>47</v>
      </c>
      <c r="F1" s="18">
        <v>5</v>
      </c>
      <c r="G1" s="20">
        <v>0.1</v>
      </c>
      <c r="H1" s="80">
        <v>32</v>
      </c>
      <c r="I1" s="80">
        <v>40</v>
      </c>
      <c r="J1" s="21">
        <v>100</v>
      </c>
      <c r="K1" s="21">
        <v>150</v>
      </c>
      <c r="L1" s="21"/>
      <c r="M1" s="21"/>
      <c r="N1" s="126" t="s">
        <v>48</v>
      </c>
      <c r="O1" s="126"/>
      <c r="P1" s="126"/>
      <c r="Q1" s="126"/>
      <c r="R1" s="126"/>
      <c r="S1" s="126"/>
      <c r="T1" s="126"/>
      <c r="U1" s="126"/>
      <c r="V1" s="126"/>
      <c r="W1" s="126"/>
    </row>
    <row r="2" spans="1:35" x14ac:dyDescent="0.25">
      <c r="A2" s="105" t="s">
        <v>8</v>
      </c>
      <c r="B2" s="106"/>
      <c r="C2" s="110" t="s">
        <v>9</v>
      </c>
      <c r="D2" s="111"/>
      <c r="E2" s="22" t="s">
        <v>13</v>
      </c>
      <c r="F2" s="23">
        <v>1</v>
      </c>
      <c r="G2" s="23">
        <v>2</v>
      </c>
      <c r="H2" s="23">
        <v>3</v>
      </c>
      <c r="I2" s="23">
        <v>4</v>
      </c>
      <c r="J2" s="23">
        <v>5</v>
      </c>
      <c r="K2" s="23">
        <v>6</v>
      </c>
      <c r="L2" s="23">
        <v>7</v>
      </c>
      <c r="M2" s="23">
        <v>8</v>
      </c>
      <c r="N2" s="23">
        <v>9</v>
      </c>
      <c r="O2" s="23">
        <v>10</v>
      </c>
      <c r="P2" s="23">
        <v>11</v>
      </c>
      <c r="Q2" s="23">
        <v>12</v>
      </c>
      <c r="R2" s="23">
        <v>13</v>
      </c>
      <c r="S2" s="23">
        <v>14</v>
      </c>
      <c r="T2" s="23">
        <v>15</v>
      </c>
      <c r="U2" s="23">
        <v>16</v>
      </c>
      <c r="V2" s="23">
        <v>17</v>
      </c>
      <c r="W2" s="23">
        <v>18</v>
      </c>
      <c r="X2" s="23">
        <v>19</v>
      </c>
      <c r="Y2" s="23">
        <v>20</v>
      </c>
      <c r="Z2" s="23">
        <v>21</v>
      </c>
      <c r="AA2" s="23">
        <v>22</v>
      </c>
      <c r="AB2" s="23">
        <v>23</v>
      </c>
      <c r="AC2" s="23">
        <v>24</v>
      </c>
      <c r="AD2" s="23">
        <v>25</v>
      </c>
      <c r="AE2" s="23">
        <v>26</v>
      </c>
      <c r="AF2" s="23">
        <v>27</v>
      </c>
      <c r="AG2" s="23">
        <v>28</v>
      </c>
      <c r="AH2" s="148" t="s">
        <v>36</v>
      </c>
      <c r="AI2" s="149"/>
    </row>
    <row r="3" spans="1:35" x14ac:dyDescent="0.25">
      <c r="A3" s="107" t="s">
        <v>7</v>
      </c>
      <c r="B3" s="108"/>
      <c r="C3" s="5" t="s">
        <v>10</v>
      </c>
      <c r="D3" s="66" t="s">
        <v>33</v>
      </c>
      <c r="E3" s="62" t="s">
        <v>12</v>
      </c>
      <c r="F3" s="120" t="s">
        <v>11</v>
      </c>
      <c r="G3" s="121"/>
      <c r="H3" s="121"/>
      <c r="I3" s="25">
        <v>1</v>
      </c>
      <c r="J3" s="122" t="s">
        <v>3</v>
      </c>
      <c r="K3" s="122"/>
      <c r="L3" s="122"/>
      <c r="M3" s="122"/>
      <c r="N3" s="160" t="s">
        <v>45</v>
      </c>
      <c r="O3" s="160"/>
      <c r="P3" s="124" t="s">
        <v>1</v>
      </c>
      <c r="Q3" s="124"/>
      <c r="R3" s="124"/>
      <c r="S3" s="124"/>
      <c r="T3" s="15">
        <v>8</v>
      </c>
      <c r="U3" s="124" t="s">
        <v>37</v>
      </c>
      <c r="V3" s="124"/>
      <c r="W3" s="124"/>
      <c r="X3" s="124"/>
      <c r="Y3" s="15">
        <v>7</v>
      </c>
      <c r="Z3" s="124" t="s">
        <v>38</v>
      </c>
      <c r="AA3" s="124"/>
      <c r="AB3" s="124"/>
      <c r="AC3" s="124"/>
      <c r="AD3" s="15">
        <v>32</v>
      </c>
      <c r="AE3" s="26"/>
      <c r="AF3" s="26"/>
      <c r="AG3" s="26"/>
      <c r="AH3" s="26"/>
      <c r="AI3" s="81"/>
    </row>
    <row r="4" spans="1:35" x14ac:dyDescent="0.25">
      <c r="A4" s="70">
        <v>1</v>
      </c>
      <c r="B4" s="74">
        <f>IF($N$3=$E$1,1+3/$F$1,1+0/$F$1)</f>
        <v>1</v>
      </c>
      <c r="C4" s="16">
        <v>0</v>
      </c>
      <c r="D4" s="67">
        <f>(1+MIN(Y3,T3-C4-1))</f>
        <v>8</v>
      </c>
      <c r="E4" s="63">
        <f>MAX(($G$1/($F$1*D4))^(1/(ROUNDUP(D4/3,)-1)),1)</f>
        <v>1</v>
      </c>
      <c r="F4" s="82">
        <f>IF(F$2&lt;=CEILING(IF($N$3=$E$1,4,MIN(IF($N$3=$D$1,6,0)/3,2)),1),CEILING(IF($N$3=$D$1,$F$1*(1-0)*IF($AD$3&gt;=$H$1,1,$AD$3/$H$1)*(CEILING(6-1,1)+1)/(F$2+1),IF($N$3=$E$1,4*(CEILING($D$4-1,1)+1)/(F$2+1),0)),0.1),0)</f>
        <v>0</v>
      </c>
      <c r="G4" s="28">
        <f t="shared" ref="G4:T4" si="0">IF(G$2&lt;=CEILING(IF($N$3=$E$1,4,MIN(IF($N$3=$D$1,6,0)/3,2)),1),CEILING(IF($N$3=$D$1,$F$1*(1-0)*IF($AD$3&gt;=$H$1,1,$AD$3/$H$1)*(CEILING(6-1,1)+1)/(G$2+1),IF($N$3=$E$1,4*(CEILING($D$4-1,1)+1)/(G$2+1),0)),0.1),0)</f>
        <v>0</v>
      </c>
      <c r="H4" s="28">
        <f t="shared" si="0"/>
        <v>0</v>
      </c>
      <c r="I4" s="28">
        <f t="shared" si="0"/>
        <v>0</v>
      </c>
      <c r="J4" s="28">
        <f t="shared" si="0"/>
        <v>0</v>
      </c>
      <c r="K4" s="28">
        <f t="shared" si="0"/>
        <v>0</v>
      </c>
      <c r="L4" s="28">
        <f t="shared" si="0"/>
        <v>0</v>
      </c>
      <c r="M4" s="28">
        <f t="shared" si="0"/>
        <v>0</v>
      </c>
      <c r="N4" s="28">
        <f t="shared" si="0"/>
        <v>0</v>
      </c>
      <c r="O4" s="28">
        <f t="shared" si="0"/>
        <v>0</v>
      </c>
      <c r="P4" s="28">
        <f t="shared" si="0"/>
        <v>0</v>
      </c>
      <c r="Q4" s="28">
        <f t="shared" si="0"/>
        <v>0</v>
      </c>
      <c r="R4" s="28">
        <f t="shared" si="0"/>
        <v>0</v>
      </c>
      <c r="S4" s="28">
        <f t="shared" si="0"/>
        <v>0</v>
      </c>
      <c r="T4" s="82">
        <f t="shared" si="0"/>
        <v>0</v>
      </c>
      <c r="U4" s="150" t="str">
        <f>IF($N$3=$E$1,"Festival en eller flere rækker af vilkårlig styrke",IF($N$3=$D$1,"Distriktets serie","Udenfor pyramiden en eller flere rækker af vilkårlig styrke"))</f>
        <v>Udenfor pyramiden en eller flere rækker af vilkårlig styrke</v>
      </c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1"/>
      <c r="AI4" s="83">
        <f>CEILING($F$1*IF($AD$3&gt;=$H$1,1,$AD$3/$H$1)*$B4*$E4^(F$2-1),0.1)</f>
        <v>5</v>
      </c>
    </row>
    <row r="5" spans="1:35" ht="15" customHeight="1" x14ac:dyDescent="0.25">
      <c r="A5" s="70"/>
      <c r="B5" s="74"/>
      <c r="C5" s="6"/>
      <c r="D5" s="68"/>
      <c r="E5" s="64"/>
      <c r="F5" s="146" t="s">
        <v>39</v>
      </c>
      <c r="G5" s="155"/>
      <c r="H5" s="155"/>
      <c r="I5" s="49"/>
      <c r="J5" s="50"/>
      <c r="K5" s="50"/>
      <c r="L5" s="50"/>
      <c r="M5" s="50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84"/>
    </row>
    <row r="6" spans="1:35" x14ac:dyDescent="0.25">
      <c r="A6" s="70"/>
      <c r="B6" s="74"/>
      <c r="C6" s="6"/>
      <c r="D6" s="68"/>
      <c r="E6" s="64"/>
      <c r="F6" s="156" t="s">
        <v>11</v>
      </c>
      <c r="G6" s="117"/>
      <c r="H6" s="117"/>
      <c r="I6" s="36">
        <v>2</v>
      </c>
      <c r="J6" s="113" t="s">
        <v>3</v>
      </c>
      <c r="K6" s="113"/>
      <c r="L6" s="113"/>
      <c r="M6" s="113"/>
      <c r="N6" s="159" t="s">
        <v>46</v>
      </c>
      <c r="O6" s="159"/>
      <c r="P6" s="115" t="s">
        <v>1</v>
      </c>
      <c r="Q6" s="115"/>
      <c r="R6" s="115"/>
      <c r="S6" s="115"/>
      <c r="T6" s="15">
        <v>6</v>
      </c>
      <c r="U6" s="116" t="s">
        <v>37</v>
      </c>
      <c r="V6" s="116"/>
      <c r="W6" s="116"/>
      <c r="X6" s="116"/>
      <c r="Y6" s="15">
        <v>5</v>
      </c>
      <c r="Z6" s="116" t="s">
        <v>38</v>
      </c>
      <c r="AA6" s="116"/>
      <c r="AB6" s="116"/>
      <c r="AC6" s="116"/>
      <c r="AD6" s="15">
        <v>32</v>
      </c>
      <c r="AE6" s="26"/>
      <c r="AF6" s="26"/>
      <c r="AG6" s="26"/>
      <c r="AH6" s="26"/>
      <c r="AI6" s="85"/>
    </row>
    <row r="7" spans="1:35" x14ac:dyDescent="0.25">
      <c r="A7" s="70">
        <v>1</v>
      </c>
      <c r="B7" s="74">
        <f>IF($N$6=$E$1,1+3.8/$F$1,1+0/$F$1)</f>
        <v>1</v>
      </c>
      <c r="C7" s="16">
        <v>0</v>
      </c>
      <c r="D7" s="67">
        <f>(1+MIN(Y$6,T$6-C7-1))</f>
        <v>6</v>
      </c>
      <c r="E7" s="63">
        <f t="shared" ref="E7:E8" si="1">MAX(($G$1/($F$1*D7))^(1/(ROUNDUP(D7/3,)-1)),1)</f>
        <v>1</v>
      </c>
      <c r="F7" s="82">
        <f>IF(F$2&lt;=CEILING(IF($N$6=$E$1,4,MIN(IF($N$6=$D$1,6,0)/3,2)),1),CEILING(IF($N$6=$D$1,$F$1*(1-0)*IF($AD$6&gt;=$H$1,1,$AD$6/$H$1)*(CEILING(6-1,1)+1)/(F$2+1),IF($N$6=$E$1,4.4*(CEILING($D$7-1,1)+1)/(F$2+1),0)),0.1),0)</f>
        <v>15</v>
      </c>
      <c r="G7" s="82">
        <f t="shared" ref="G7:T7" si="2">IF(G$2&lt;=CEILING(IF($N$6=$E$1,4,MIN(IF($N$6=$D$1,6,0)/3,2)),1),CEILING(IF($N$6=$D$1,$F$1*(1-0)*IF($AD$6&gt;=$H$1,1,$AD$6/$H$1)*(CEILING(6-1,1)+1)/(G$2+1),IF($N$6=$E$1,4.4*(CEILING($D$7-1,1)+1)/(G$2+1),0)),0.1),0)</f>
        <v>10</v>
      </c>
      <c r="H7" s="82">
        <f t="shared" si="2"/>
        <v>0</v>
      </c>
      <c r="I7" s="82">
        <f t="shared" si="2"/>
        <v>0</v>
      </c>
      <c r="J7" s="82">
        <f t="shared" si="2"/>
        <v>0</v>
      </c>
      <c r="K7" s="82">
        <f t="shared" si="2"/>
        <v>0</v>
      </c>
      <c r="L7" s="82">
        <f t="shared" si="2"/>
        <v>0</v>
      </c>
      <c r="M7" s="82">
        <f t="shared" si="2"/>
        <v>0</v>
      </c>
      <c r="N7" s="82">
        <f t="shared" si="2"/>
        <v>0</v>
      </c>
      <c r="O7" s="82">
        <f t="shared" si="2"/>
        <v>0</v>
      </c>
      <c r="P7" s="82">
        <f t="shared" si="2"/>
        <v>0</v>
      </c>
      <c r="Q7" s="82">
        <f t="shared" si="2"/>
        <v>0</v>
      </c>
      <c r="R7" s="82">
        <f t="shared" si="2"/>
        <v>0</v>
      </c>
      <c r="S7" s="82">
        <f t="shared" si="2"/>
        <v>0</v>
      </c>
      <c r="T7" s="82">
        <f t="shared" si="2"/>
        <v>0</v>
      </c>
      <c r="U7" s="152" t="str">
        <f>IF($N$6=$E$1,"Festival A-rækken af 2",IF($N$6=$D$1,"Distriktets serie 1","Udenfor pyramiden A-rækken af 2"))</f>
        <v>Distriktets serie 1</v>
      </c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3"/>
      <c r="AI7" s="83">
        <f>CEILING($F$1*IF($AD$6&gt;=$H$1,1,$AD$6/$H$1)*$B7*$E7^(F$2-1),0.1)</f>
        <v>5</v>
      </c>
    </row>
    <row r="8" spans="1:35" x14ac:dyDescent="0.25">
      <c r="A8" s="70">
        <v>2</v>
      </c>
      <c r="B8" s="74">
        <f>IF($N$6=$E$1,1+2.2/$F$1,1-1/$F$1)</f>
        <v>0.8</v>
      </c>
      <c r="C8" s="16">
        <v>0</v>
      </c>
      <c r="D8" s="67">
        <f>(1+MIN(Y$6,T$6-C8-1))</f>
        <v>6</v>
      </c>
      <c r="E8" s="63">
        <f t="shared" si="1"/>
        <v>1</v>
      </c>
      <c r="F8" s="82">
        <f>IF(F$2&lt;=CEILING(IF($N$6=$E$1,4,MIN(IF($N$6=$D$1,6,0)/3,2)),1),CEILING(IF($N$6=$D$1,$F$1*(1-1/3)*IF($AD$6&gt;=$H$1,1,$AD$6/$H$1)*(CEILING(6-1,1)+1)/(F$2+1),IF($N$6=$E$1,3.6*(CEILING($D$8-1,1)+1)/(F$2+1),0)),0.1),0)</f>
        <v>10</v>
      </c>
      <c r="G8" s="28">
        <f t="shared" ref="G8:T8" si="3">IF(G$2&lt;=CEILING(IF($N$6=$E$1,4,MIN(IF($N$6=$D$1,6,0)/3,2)),1),CEILING(IF($N$6=$D$1,$F$1*(1-1/3)*IF($AD$6&gt;=$H$1,1,$AD$6/$H$1)*(CEILING(6-1,1)+1)/(G$2+1),IF($N$6=$E$1,3.6*(CEILING($D$8-1,1)+1)/(G$2+1),0)),0.1),0)</f>
        <v>6.7</v>
      </c>
      <c r="H8" s="28">
        <f t="shared" si="3"/>
        <v>0</v>
      </c>
      <c r="I8" s="28">
        <f t="shared" si="3"/>
        <v>0</v>
      </c>
      <c r="J8" s="28">
        <f t="shared" si="3"/>
        <v>0</v>
      </c>
      <c r="K8" s="28">
        <f t="shared" si="3"/>
        <v>0</v>
      </c>
      <c r="L8" s="28">
        <f t="shared" si="3"/>
        <v>0</v>
      </c>
      <c r="M8" s="28">
        <f t="shared" si="3"/>
        <v>0</v>
      </c>
      <c r="N8" s="28">
        <f t="shared" si="3"/>
        <v>0</v>
      </c>
      <c r="O8" s="28">
        <f t="shared" si="3"/>
        <v>0</v>
      </c>
      <c r="P8" s="28">
        <f t="shared" si="3"/>
        <v>0</v>
      </c>
      <c r="Q8" s="28">
        <f t="shared" si="3"/>
        <v>0</v>
      </c>
      <c r="R8" s="28">
        <f t="shared" si="3"/>
        <v>0</v>
      </c>
      <c r="S8" s="28">
        <f t="shared" si="3"/>
        <v>0</v>
      </c>
      <c r="T8" s="28">
        <f t="shared" si="3"/>
        <v>0</v>
      </c>
      <c r="U8" s="152" t="str">
        <f>IF($N$6=$E$1,"Festival B-rækken af 2",IF($N$6=$D$1,"Distriktets serie 2","Udenfor pyramiden B-rækken af 2"))</f>
        <v>Distriktets serie 2</v>
      </c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3"/>
      <c r="AI8" s="83">
        <f>CEILING($F$1*IF($AD$6&gt;=$H$1,1,$AD$6/$H$1)*$B8*$E8^(F$2-1),0.1)</f>
        <v>4</v>
      </c>
    </row>
    <row r="9" spans="1:35" ht="15" customHeight="1" x14ac:dyDescent="0.25">
      <c r="A9" s="70"/>
      <c r="B9" s="74"/>
      <c r="C9" s="6"/>
      <c r="D9" s="68"/>
      <c r="E9" s="64"/>
      <c r="F9" s="146" t="s">
        <v>39</v>
      </c>
      <c r="G9" s="155"/>
      <c r="H9" s="155"/>
      <c r="I9" s="49"/>
      <c r="J9" s="50"/>
      <c r="K9" s="50"/>
      <c r="L9" s="50"/>
      <c r="M9" s="50"/>
      <c r="N9" s="86"/>
      <c r="O9" s="86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84"/>
    </row>
    <row r="10" spans="1:35" x14ac:dyDescent="0.25">
      <c r="A10" s="70"/>
      <c r="B10" s="74"/>
      <c r="C10" s="6"/>
      <c r="D10" s="68"/>
      <c r="E10" s="64"/>
      <c r="F10" s="156" t="s">
        <v>11</v>
      </c>
      <c r="G10" s="117"/>
      <c r="H10" s="117"/>
      <c r="I10" s="36">
        <v>3</v>
      </c>
      <c r="J10" s="113" t="s">
        <v>3</v>
      </c>
      <c r="K10" s="113"/>
      <c r="L10" s="113"/>
      <c r="M10" s="113"/>
      <c r="N10" s="159" t="s">
        <v>46</v>
      </c>
      <c r="O10" s="159"/>
      <c r="P10" s="115" t="s">
        <v>1</v>
      </c>
      <c r="Q10" s="115"/>
      <c r="R10" s="115"/>
      <c r="S10" s="115"/>
      <c r="T10" s="15">
        <v>6</v>
      </c>
      <c r="U10" s="116" t="s">
        <v>37</v>
      </c>
      <c r="V10" s="116"/>
      <c r="W10" s="116"/>
      <c r="X10" s="116"/>
      <c r="Y10" s="15">
        <v>5</v>
      </c>
      <c r="Z10" s="116" t="s">
        <v>38</v>
      </c>
      <c r="AA10" s="116"/>
      <c r="AB10" s="116"/>
      <c r="AC10" s="116"/>
      <c r="AD10" s="15">
        <v>40</v>
      </c>
      <c r="AE10" s="26"/>
      <c r="AF10" s="26"/>
      <c r="AG10" s="26"/>
      <c r="AH10" s="26"/>
      <c r="AI10" s="85"/>
    </row>
    <row r="11" spans="1:35" x14ac:dyDescent="0.25">
      <c r="A11" s="70">
        <v>1</v>
      </c>
      <c r="B11" s="74">
        <f>IF($N$10=$E$1,1+4.2/$F$1,1+1/$F$1)</f>
        <v>1.2</v>
      </c>
      <c r="C11" s="16">
        <v>0</v>
      </c>
      <c r="D11" s="67">
        <f>(1+MIN(Y$10,T$10-C11-1))</f>
        <v>6</v>
      </c>
      <c r="E11" s="63">
        <f t="shared" ref="E11:E13" si="4">MAX(($G$1/($F$1*D11))^(1/(ROUNDUP(D11/3,)-1)),1)</f>
        <v>1</v>
      </c>
      <c r="F11" s="82">
        <f>IF(F$2&lt;=CEILING(IF($N$10=$E$1,4,MIN(IF($N$10=$D$1,0,0)/3,2)),1),CEILING(IF($N$10=$D$1,$F$1*(1-0)*IF($AD$10&gt;=$H$1,1,$AD$10/$H$1)*(CEILING(6-1,1)+1)/(F$2+1),IF($N$10=$E$1,4.6*(CEILING($D$11-1,1)+1)/(F$2+1),0)),0.1),0)</f>
        <v>0</v>
      </c>
      <c r="G11" s="28">
        <f t="shared" ref="G11:T11" si="5">IF(G$2&lt;=CEILING(IF($N$10=$E$1,4,MIN(IF($N$10=$D$1,0,0)/3,2)),1),CEILING(IF($N$10=$D$1,$F$1*(1-0)*IF($AD$10&gt;=$H$1,1,$AD$10/$H$1)*(CEILING(6-1,1)+1)/(G$2+1),IF($N$10=$E$1,4.6*(CEILING($D$11-1,1)+1)/(G$2+1),0)),0.1),0)</f>
        <v>0</v>
      </c>
      <c r="H11" s="28">
        <f t="shared" si="5"/>
        <v>0</v>
      </c>
      <c r="I11" s="28">
        <f t="shared" si="5"/>
        <v>0</v>
      </c>
      <c r="J11" s="28">
        <f t="shared" si="5"/>
        <v>0</v>
      </c>
      <c r="K11" s="28">
        <f t="shared" si="5"/>
        <v>0</v>
      </c>
      <c r="L11" s="28">
        <f t="shared" si="5"/>
        <v>0</v>
      </c>
      <c r="M11" s="28">
        <f t="shared" si="5"/>
        <v>0</v>
      </c>
      <c r="N11" s="28">
        <f t="shared" si="5"/>
        <v>0</v>
      </c>
      <c r="O11" s="28">
        <f t="shared" si="5"/>
        <v>0</v>
      </c>
      <c r="P11" s="28">
        <f t="shared" si="5"/>
        <v>0</v>
      </c>
      <c r="Q11" s="28">
        <f t="shared" si="5"/>
        <v>0</v>
      </c>
      <c r="R11" s="28">
        <f t="shared" si="5"/>
        <v>0</v>
      </c>
      <c r="S11" s="28">
        <f t="shared" si="5"/>
        <v>0</v>
      </c>
      <c r="T11" s="28">
        <f t="shared" si="5"/>
        <v>0</v>
      </c>
      <c r="U11" s="152" t="str">
        <f>IF($N$10=$E$1,"Festival A-rækken af 3",IF($N$10=$D$1,"Op- og nedrykningskampe (til 3. div. og Mlrk. 2/Kval.rækker N/S)","Udenfor pyramiden A-rækken af 3"))</f>
        <v>Op- og nedrykningskampe (til 3. div. og Mlrk. 2/Kval.rækker N/S)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3"/>
      <c r="AI11" s="83">
        <f>CEILING($F$1*IF($AD$10&gt;=$H$1,1,$AD$10/$H$1)*$B11*$E11^(F$2-1),0.1)</f>
        <v>6</v>
      </c>
    </row>
    <row r="12" spans="1:35" x14ac:dyDescent="0.25">
      <c r="A12" s="70">
        <v>2</v>
      </c>
      <c r="B12" s="74">
        <f>IF($N$10=$E$1,1+3/$F$1,1+0/$F$1)</f>
        <v>1</v>
      </c>
      <c r="C12" s="16">
        <v>0</v>
      </c>
      <c r="D12" s="67">
        <f t="shared" ref="D12:D13" si="6">(1+MIN(Y$10,T$10-C12-1))</f>
        <v>6</v>
      </c>
      <c r="E12" s="63">
        <f t="shared" si="4"/>
        <v>1</v>
      </c>
      <c r="F12" s="82">
        <f>IF(F$2&lt;=CEILING(IF($N$10=$E$1,4,MIN(IF($N$10=$D$1,6,0)/3,0)),1),CEILING(IF($N$10=$D$1,$F$1*(1-1/3)*IF($AD$10&gt;=$I$1,1,$AD$10/$I$1)*(CEILING(6-1,1)+1)/(F$2+1),IF($N$10=$E$1,4*(CEILING($D$12-1,1)+1)/(F$2+1),0)),0.1),0)</f>
        <v>0</v>
      </c>
      <c r="G12" s="28">
        <f t="shared" ref="G12:T12" si="7">IF(G$2&lt;=CEILING(IF($N$10=$E$1,4,MIN(IF($N$10=$D$1,6,0)/3,0)),1),CEILING(IF($N$10=$D$1,$F$1*(1-1/3)*IF($AD$10&gt;=$I$1,1,$AD$10/$I$1)*(CEILING(6-1,1)+1)/(G$2+1),IF($N$10=$E$1,4*(CEILING($D$12-1,1)+1)/(G$2+1),0)),0.1),0)</f>
        <v>0</v>
      </c>
      <c r="H12" s="28">
        <f t="shared" si="7"/>
        <v>0</v>
      </c>
      <c r="I12" s="28">
        <f t="shared" si="7"/>
        <v>0</v>
      </c>
      <c r="J12" s="28">
        <f t="shared" si="7"/>
        <v>0</v>
      </c>
      <c r="K12" s="28">
        <f t="shared" si="7"/>
        <v>0</v>
      </c>
      <c r="L12" s="28">
        <f t="shared" si="7"/>
        <v>0</v>
      </c>
      <c r="M12" s="28">
        <f t="shared" si="7"/>
        <v>0</v>
      </c>
      <c r="N12" s="28">
        <f t="shared" si="7"/>
        <v>0</v>
      </c>
      <c r="O12" s="28">
        <f t="shared" si="7"/>
        <v>0</v>
      </c>
      <c r="P12" s="28">
        <f t="shared" si="7"/>
        <v>0</v>
      </c>
      <c r="Q12" s="28">
        <f t="shared" si="7"/>
        <v>0</v>
      </c>
      <c r="R12" s="28">
        <f t="shared" si="7"/>
        <v>0</v>
      </c>
      <c r="S12" s="28">
        <f t="shared" si="7"/>
        <v>0</v>
      </c>
      <c r="T12" s="28">
        <f t="shared" si="7"/>
        <v>0</v>
      </c>
      <c r="U12" s="152" t="str">
        <f>IF($N$10=$E$1,"Festival B-rækken af 3",IF($N$10=$D$1,"Kvalifikationsrækken til DM juniorhold","Udenfor pyramiden B-rækken af 3"))</f>
        <v>Kvalifikationsrækken til DM juniorhold</v>
      </c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3"/>
      <c r="AI12" s="83">
        <f>CEILING($F$1*IF($N$10=$D$1,IF($AD$10&gt;=$I$1,1,$AD$10/$I$1),IF($AD$10&gt;=$H$1,1,$AD$10/$H$1))*$B12*$E12^(F$2-1),0.1)</f>
        <v>5</v>
      </c>
    </row>
    <row r="13" spans="1:35" x14ac:dyDescent="0.25">
      <c r="A13" s="70">
        <v>3</v>
      </c>
      <c r="B13" s="74">
        <f>IF($N$10=$E$1,1+1.8/$F$1,1-1/$F$1)</f>
        <v>0.8</v>
      </c>
      <c r="C13" s="16">
        <v>0</v>
      </c>
      <c r="D13" s="67">
        <f t="shared" si="6"/>
        <v>6</v>
      </c>
      <c r="E13" s="63">
        <f t="shared" si="4"/>
        <v>1</v>
      </c>
      <c r="F13" s="82">
        <f>IF(F$2&lt;=CEILING(IF($N$10=$E$1,4,MIN(IF($N$10=$D$1,6,0)/3,2)),1),CEILING(IF($N$10=$D$1,$F$1*(1-1/3)*IF($AD$10&gt;=$I$1,1,$AD$10/$I$1)*(CEILING(6-1,1)+1)/(F$2+1),IF($N$10=$E$1,3.4*(CEILING($D$13-1,1)+1)/(F$2+1),0)),0.1),0)</f>
        <v>10</v>
      </c>
      <c r="G13" s="82">
        <f t="shared" ref="G13:T13" si="8">IF(G$2&lt;=CEILING(IF($N$10=$E$1,4,MIN(IF($N$10=$D$1,6,0)/3,2)),1),CEILING(IF($N$10=$D$1,$F$1*(1-1/3)*IF($AD$10&gt;=$I$1,1,$AD$10/$I$1)*(CEILING(6-1,1)+1)/(G$2+1),IF($N$10=$E$1,3.4*(CEILING($D$13-1,1)+1)/(G$2+1),0)),0.1),0)</f>
        <v>6.7</v>
      </c>
      <c r="H13" s="82">
        <f t="shared" si="8"/>
        <v>0</v>
      </c>
      <c r="I13" s="82">
        <f t="shared" si="8"/>
        <v>0</v>
      </c>
      <c r="J13" s="82">
        <f t="shared" si="8"/>
        <v>0</v>
      </c>
      <c r="K13" s="82">
        <f t="shared" si="8"/>
        <v>0</v>
      </c>
      <c r="L13" s="82">
        <f t="shared" si="8"/>
        <v>0</v>
      </c>
      <c r="M13" s="82">
        <f t="shared" si="8"/>
        <v>0</v>
      </c>
      <c r="N13" s="82">
        <f t="shared" si="8"/>
        <v>0</v>
      </c>
      <c r="O13" s="82">
        <f t="shared" si="8"/>
        <v>0</v>
      </c>
      <c r="P13" s="82">
        <f t="shared" si="8"/>
        <v>0</v>
      </c>
      <c r="Q13" s="82">
        <f t="shared" si="8"/>
        <v>0</v>
      </c>
      <c r="R13" s="82">
        <f t="shared" si="8"/>
        <v>0</v>
      </c>
      <c r="S13" s="82">
        <f t="shared" si="8"/>
        <v>0</v>
      </c>
      <c r="T13" s="82">
        <f t="shared" si="8"/>
        <v>0</v>
      </c>
      <c r="U13" s="152" t="str">
        <f>IF($N$10=$E$1,"Festival C-rækken af 3",IF($N$10=$D$1,"Kvalifikationsrækken til DM damehold og finalen i DM skolehold","Udenfor pyramiden C-rækken af 3"))</f>
        <v>Kvalifikationsrækken til DM damehold og finalen i DM skolehold</v>
      </c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3"/>
      <c r="AI13" s="83">
        <f>CEILING($F$1*IF($N$10=$D$1,IF($AD$10&gt;=$I$1,1,$AD$10/$I$1),IF($AD$10&gt;=$H$1,1,$AD$10/$H$1))*$B13*$E13^(F$2-1),0.1)</f>
        <v>4</v>
      </c>
    </row>
    <row r="14" spans="1:35" ht="15" customHeight="1" x14ac:dyDescent="0.25">
      <c r="A14" s="70"/>
      <c r="B14" s="74"/>
      <c r="C14" s="6"/>
      <c r="D14" s="68"/>
      <c r="E14" s="64"/>
      <c r="F14" s="146" t="s">
        <v>39</v>
      </c>
      <c r="G14" s="155"/>
      <c r="H14" s="155"/>
      <c r="I14" s="49"/>
      <c r="J14" s="50"/>
      <c r="K14" s="50"/>
      <c r="L14" s="50"/>
      <c r="M14" s="50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84"/>
    </row>
    <row r="15" spans="1:35" x14ac:dyDescent="0.25">
      <c r="A15" s="70"/>
      <c r="B15" s="74"/>
      <c r="C15" s="6"/>
      <c r="D15" s="68"/>
      <c r="E15" s="64"/>
      <c r="F15" s="156" t="s">
        <v>11</v>
      </c>
      <c r="G15" s="117"/>
      <c r="H15" s="117"/>
      <c r="I15" s="36">
        <v>4</v>
      </c>
      <c r="J15" s="113" t="s">
        <v>3</v>
      </c>
      <c r="K15" s="113"/>
      <c r="L15" s="113"/>
      <c r="M15" s="113"/>
      <c r="N15" s="159" t="s">
        <v>46</v>
      </c>
      <c r="O15" s="159"/>
      <c r="P15" s="115" t="s">
        <v>1</v>
      </c>
      <c r="Q15" s="115"/>
      <c r="R15" s="115"/>
      <c r="S15" s="115"/>
      <c r="T15" s="15">
        <v>10</v>
      </c>
      <c r="U15" s="116" t="s">
        <v>37</v>
      </c>
      <c r="V15" s="116"/>
      <c r="W15" s="116"/>
      <c r="X15" s="116"/>
      <c r="Y15" s="15">
        <v>9</v>
      </c>
      <c r="Z15" s="116" t="s">
        <v>38</v>
      </c>
      <c r="AA15" s="116"/>
      <c r="AB15" s="116"/>
      <c r="AC15" s="116"/>
      <c r="AD15" s="15">
        <v>32</v>
      </c>
      <c r="AE15" s="26"/>
      <c r="AF15" s="26"/>
      <c r="AG15" s="26"/>
      <c r="AH15" s="26"/>
      <c r="AI15" s="85"/>
    </row>
    <row r="16" spans="1:35" x14ac:dyDescent="0.25">
      <c r="A16" s="70">
        <v>1</v>
      </c>
      <c r="B16" s="74">
        <f>IF($N$15=$E$1,1+4.2/$F$1,1+2/$F$1)</f>
        <v>1.4</v>
      </c>
      <c r="C16" s="16">
        <v>0</v>
      </c>
      <c r="D16" s="67">
        <f>(1+MIN(Y$15,T$15-C16-1))</f>
        <v>10</v>
      </c>
      <c r="E16" s="63">
        <f t="shared" ref="E16:E19" si="9">MAX(($G$1/($F$1*D16))^(1/(ROUNDUP(D16/3,)-1)),1)</f>
        <v>1</v>
      </c>
      <c r="F16" s="82">
        <f>IF(F$2&lt;=CEILING(IF($N$15=$E$1,4,MIN(IF($N$15=$D$1,24,0)/3,4)),1),CEILING(IF($N$15=$D$1,$F$1*(1-0)*IF($AD$15&gt;=$H$1,1,$AD$15/$H$1)*(CEILING(24-1,1)+1)/(F$2+1),IF($N$15=$E$1,4.6*(CEILING($D$16-1,1)+1)/(F$2+1),0)),0.1),0)</f>
        <v>60</v>
      </c>
      <c r="G16" s="28">
        <f t="shared" ref="G16:T16" si="10">IF(G$2&lt;=CEILING(IF($N$15=$E$1,4,MIN(IF($N$15=$D$1,24,0)/3,4)),1),CEILING(IF($N$15=$D$1,$F$1*(1-0)*IF($AD$15&gt;=$H$1,1,$AD$15/$H$1)*(CEILING(24-1,1)+1)/(G$2+1),IF($N$15=$E$1,4.6*(CEILING($D$16-1,1)+1)/(G$2+1),0)),0.1),0)</f>
        <v>40</v>
      </c>
      <c r="H16" s="28">
        <f t="shared" si="10"/>
        <v>30</v>
      </c>
      <c r="I16" s="28">
        <f t="shared" si="10"/>
        <v>24</v>
      </c>
      <c r="J16" s="28">
        <f t="shared" si="10"/>
        <v>0</v>
      </c>
      <c r="K16" s="28">
        <f t="shared" si="10"/>
        <v>0</v>
      </c>
      <c r="L16" s="28">
        <f t="shared" si="10"/>
        <v>0</v>
      </c>
      <c r="M16" s="28">
        <f t="shared" si="10"/>
        <v>0</v>
      </c>
      <c r="N16" s="28">
        <f t="shared" si="10"/>
        <v>0</v>
      </c>
      <c r="O16" s="28">
        <f t="shared" si="10"/>
        <v>0</v>
      </c>
      <c r="P16" s="28">
        <f t="shared" si="10"/>
        <v>0</v>
      </c>
      <c r="Q16" s="28">
        <f t="shared" si="10"/>
        <v>0</v>
      </c>
      <c r="R16" s="28">
        <f t="shared" si="10"/>
        <v>0</v>
      </c>
      <c r="S16" s="28">
        <f t="shared" si="10"/>
        <v>0</v>
      </c>
      <c r="T16" s="28">
        <f t="shared" si="10"/>
        <v>0</v>
      </c>
      <c r="U16" s="152" t="str">
        <f>IF($N$15=$E$1,"Festival A-rækken af 4",IF($N$15=$D$1,"Kreds 4, Mellemrækken","Udenfor pyramiden A-rækken af 4"))</f>
        <v>Kreds 4, Mellemrækken</v>
      </c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3"/>
      <c r="AI16" s="83">
        <f>CEILING($F$1*IF($AD$15&gt;=$H$1,1,$AD$15/$H$1)*$B16*$E16^(F$2-1),0.1)</f>
        <v>7</v>
      </c>
    </row>
    <row r="17" spans="1:35" x14ac:dyDescent="0.25">
      <c r="A17" s="70">
        <v>2</v>
      </c>
      <c r="B17" s="74">
        <f>IF($N$15=$E$1,1+3.4/$F$1,1+1/$F$1)</f>
        <v>1.2</v>
      </c>
      <c r="C17" s="16">
        <v>0</v>
      </c>
      <c r="D17" s="67">
        <f t="shared" ref="D17:D19" si="11">(1+MIN(Y$15,T$15-C17-1))</f>
        <v>10</v>
      </c>
      <c r="E17" s="63">
        <f t="shared" si="9"/>
        <v>1</v>
      </c>
      <c r="F17" s="82">
        <f>IF(F$2&lt;=CEILING(IF($N$15=$E$1,4,MIN(IF($N$15=$D$1,24,0)/3,3)),1),CEILING(IF($N$15=$D$1,$F$1*(1-2/3)*IF($AD$15&gt;=$H$1,1,$AD$15/$H$1)*(CEILING(24-1,1)+1)/(F$2+1),IF($N$15=$E$1,4.2*(CEILING($D$17-1,1)+1)/(F$2+1),0)),0.1),0)</f>
        <v>20</v>
      </c>
      <c r="G17" s="28">
        <f t="shared" ref="G17:T17" si="12">IF(G$2&lt;=CEILING(IF($N$15=$E$1,4,MIN(IF($N$15=$D$1,24,0)/3,3)),1),CEILING(IF($N$15=$D$1,$F$1*(1-2/3)*IF($AD$15&gt;=$H$1,1,$AD$15/$H$1)*(CEILING(24-1,1)+1)/(G$2+1),IF($N$15=$E$1,4.2*(CEILING($D$17-1,1)+1)/(G$2+1),0)),0.1),0)</f>
        <v>13.4</v>
      </c>
      <c r="H17" s="28">
        <f t="shared" si="12"/>
        <v>10</v>
      </c>
      <c r="I17" s="28">
        <f t="shared" si="12"/>
        <v>0</v>
      </c>
      <c r="J17" s="28">
        <f t="shared" si="12"/>
        <v>0</v>
      </c>
      <c r="K17" s="28">
        <f t="shared" si="12"/>
        <v>0</v>
      </c>
      <c r="L17" s="28">
        <f t="shared" si="12"/>
        <v>0</v>
      </c>
      <c r="M17" s="28">
        <f t="shared" si="12"/>
        <v>0</v>
      </c>
      <c r="N17" s="28">
        <f t="shared" si="12"/>
        <v>0</v>
      </c>
      <c r="O17" s="28">
        <f t="shared" si="12"/>
        <v>0</v>
      </c>
      <c r="P17" s="28">
        <f t="shared" si="12"/>
        <v>0</v>
      </c>
      <c r="Q17" s="28">
        <f t="shared" si="12"/>
        <v>0</v>
      </c>
      <c r="R17" s="28">
        <f t="shared" si="12"/>
        <v>0</v>
      </c>
      <c r="S17" s="28">
        <f t="shared" si="12"/>
        <v>0</v>
      </c>
      <c r="T17" s="28">
        <f t="shared" si="12"/>
        <v>0</v>
      </c>
      <c r="U17" s="152" t="str">
        <f>IF($N$15=$E$1,"Festival B-rækken af 4",IF($N$15=$D$1,"Kreds 4, Kvalifikationsrækker Nord og Syd","Udenfor pyramiden B-rækken af 4"))</f>
        <v>Kreds 4, Kvalifikationsrækker Nord og Syd</v>
      </c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3"/>
      <c r="AI17" s="83">
        <f>CEILING($F$1*IF($AD$15&gt;=$H$1,1,$AD$15/$H$1)*$B17*$E17^(F$2-1),0.1)</f>
        <v>6</v>
      </c>
    </row>
    <row r="18" spans="1:35" x14ac:dyDescent="0.25">
      <c r="A18" s="70">
        <v>3</v>
      </c>
      <c r="B18" s="74">
        <f>IF($N$15=$E$1,1+2.6/$F$1,IF($N$15=$D$1,1+1/$F$1,1+0/$F$1))</f>
        <v>1.2</v>
      </c>
      <c r="C18" s="16">
        <v>0</v>
      </c>
      <c r="D18" s="67">
        <f t="shared" si="11"/>
        <v>10</v>
      </c>
      <c r="E18" s="63">
        <f t="shared" si="9"/>
        <v>1</v>
      </c>
      <c r="F18" s="82">
        <f>IF(F$2&lt;=CEILING(IF($N$15=$E$1,4,MIN(IF($N$15=$D$1,24,0)/3,4)),1),CEILING(IF($N$15=$D$1,$F$1*(1-0)*IF($AD$15&gt;=$H$1,1,$AD$15/$H$1)*(CEILING(24-1,1)+1)/(F$2+1),IF($N$15=$E$1,3.8*(CEILING($D$18-1,1)+1)/(F$2+1),0)),0.1),0)</f>
        <v>60</v>
      </c>
      <c r="G18" s="28">
        <f t="shared" ref="G18:T18" si="13">IF(G$2&lt;=CEILING(IF($N$15=$E$1,4,MIN(IF($N$15=$D$1,24,0)/3,4)),1),CEILING(IF($N$15=$D$1,$F$1*(1-0)*IF($AD$15&gt;=$H$1,1,$AD$15/$H$1)*(CEILING(24-1,1)+1)/(G$2+1),IF($N$15=$E$1,3.8*(CEILING($D$18-1,1)+1)/(G$2+1),0)),0.1),0)</f>
        <v>40</v>
      </c>
      <c r="H18" s="28">
        <f t="shared" si="13"/>
        <v>30</v>
      </c>
      <c r="I18" s="28">
        <f t="shared" si="13"/>
        <v>24</v>
      </c>
      <c r="J18" s="28">
        <f t="shared" si="13"/>
        <v>0</v>
      </c>
      <c r="K18" s="28">
        <f t="shared" si="13"/>
        <v>0</v>
      </c>
      <c r="L18" s="28">
        <f t="shared" si="13"/>
        <v>0</v>
      </c>
      <c r="M18" s="28">
        <f t="shared" si="13"/>
        <v>0</v>
      </c>
      <c r="N18" s="28">
        <f t="shared" si="13"/>
        <v>0</v>
      </c>
      <c r="O18" s="28">
        <f t="shared" si="13"/>
        <v>0</v>
      </c>
      <c r="P18" s="28">
        <f t="shared" si="13"/>
        <v>0</v>
      </c>
      <c r="Q18" s="28">
        <f t="shared" si="13"/>
        <v>0</v>
      </c>
      <c r="R18" s="28">
        <f t="shared" si="13"/>
        <v>0</v>
      </c>
      <c r="S18" s="28">
        <f t="shared" si="13"/>
        <v>0</v>
      </c>
      <c r="T18" s="28">
        <f t="shared" si="13"/>
        <v>0</v>
      </c>
      <c r="U18" s="152" t="str">
        <f>IF($N$15=$E$1,"Festival C-rækken af 4",IF($N$15=$D$1,"Kreds 1, Københavnsserien","Udenfor pyramiden C-rækken af 4"))</f>
        <v>Kreds 1, Københavnsserien</v>
      </c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3"/>
      <c r="AI18" s="83">
        <f>CEILING($F$1*IF($AD$15&gt;=$H$1,1,$AD$15/$H$1)*$B18*$E18^(F$2-1),0.1)</f>
        <v>6</v>
      </c>
    </row>
    <row r="19" spans="1:35" x14ac:dyDescent="0.25">
      <c r="A19" s="70">
        <v>4</v>
      </c>
      <c r="B19" s="74">
        <f>IF($N$15=$E$1,1+2.6/$F$1,IF($N$15=$D$1,1+1/$F$1,1-1/$F$1))</f>
        <v>1.2</v>
      </c>
      <c r="C19" s="16">
        <v>0</v>
      </c>
      <c r="D19" s="67">
        <f t="shared" si="11"/>
        <v>10</v>
      </c>
      <c r="E19" s="63">
        <f t="shared" si="9"/>
        <v>1</v>
      </c>
      <c r="F19" s="82">
        <f>IF(F$2&lt;=CEILING(IF($N$15=$E$1,4,MIN(IF($N$15=$D$1,24,0)/3,4)),1),CEILING(IF($N$15=$D$1,$F$1*(1-0)*IF($AD$15&gt;=$H$1,1,$AD$15/$H$1)*(CEILING(24-1,1)+1)/(F$2+1),IF($N$15=$E$1,3.4*(CEILING($D$19-1,1)+1)/(F$2+1),0)),0.1),0)</f>
        <v>60</v>
      </c>
      <c r="G19" s="28">
        <f t="shared" ref="G19:T19" si="14">IF(G$2&lt;=CEILING(IF($N$15=$E$1,4,MIN(IF($N$15=$D$1,24,0)/3,4)),1),CEILING(IF($N$15=$D$1,$F$1*(1-0)*IF($AD$15&gt;=$H$1,1,$AD$15/$H$1)*(CEILING(24-1,1)+1)/(G$2+1),IF($N$15=$E$1,3.4*(CEILING($D$19-1,1)+1)/(G$2+1),0)),0.1),0)</f>
        <v>40</v>
      </c>
      <c r="H19" s="28">
        <f t="shared" si="14"/>
        <v>30</v>
      </c>
      <c r="I19" s="28">
        <f t="shared" si="14"/>
        <v>24</v>
      </c>
      <c r="J19" s="28">
        <f t="shared" si="14"/>
        <v>0</v>
      </c>
      <c r="K19" s="28">
        <f t="shared" si="14"/>
        <v>0</v>
      </c>
      <c r="L19" s="28">
        <f t="shared" si="14"/>
        <v>0</v>
      </c>
      <c r="M19" s="28">
        <f t="shared" si="14"/>
        <v>0</v>
      </c>
      <c r="N19" s="28">
        <f t="shared" si="14"/>
        <v>0</v>
      </c>
      <c r="O19" s="28">
        <f t="shared" si="14"/>
        <v>0</v>
      </c>
      <c r="P19" s="28">
        <f t="shared" si="14"/>
        <v>0</v>
      </c>
      <c r="Q19" s="28">
        <f t="shared" si="14"/>
        <v>0</v>
      </c>
      <c r="R19" s="28">
        <f t="shared" si="14"/>
        <v>0</v>
      </c>
      <c r="S19" s="28">
        <f t="shared" si="14"/>
        <v>0</v>
      </c>
      <c r="T19" s="28">
        <f t="shared" si="14"/>
        <v>0</v>
      </c>
      <c r="U19" s="152" t="str">
        <f>IF($N$15=$E$1,"Festival D-rækken af 4",IF($N$15=$D$1,"Kreds 3, Bornholmsserien","Udenfor pyramiden D-rækken af 4"))</f>
        <v>Kreds 3, Bornholmsserien</v>
      </c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3"/>
      <c r="AI19" s="83">
        <f>CEILING($F$1*IF($AD$15&gt;=$H$1,1,$AD$15/$H$1)*$B19*$E19^(F$2-1),0.1)</f>
        <v>6</v>
      </c>
    </row>
    <row r="20" spans="1:35" ht="15" customHeight="1" thickBot="1" x14ac:dyDescent="0.3">
      <c r="A20" s="70"/>
      <c r="B20" s="74"/>
      <c r="C20" s="6"/>
      <c r="D20" s="68"/>
      <c r="E20" s="64"/>
      <c r="F20" s="146" t="s">
        <v>39</v>
      </c>
      <c r="G20" s="155"/>
      <c r="H20" s="155"/>
      <c r="I20" s="49"/>
      <c r="J20" s="50"/>
      <c r="K20" s="50"/>
      <c r="L20" s="50"/>
      <c r="M20" s="50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84"/>
    </row>
    <row r="21" spans="1:35" ht="15.75" thickBot="1" x14ac:dyDescent="0.3">
      <c r="A21" s="70"/>
      <c r="B21" s="74"/>
      <c r="C21" s="6"/>
      <c r="D21" s="68"/>
      <c r="E21" s="64"/>
      <c r="F21" s="156" t="s">
        <v>11</v>
      </c>
      <c r="G21" s="117"/>
      <c r="H21" s="157"/>
      <c r="I21" s="78">
        <v>5</v>
      </c>
      <c r="J21" s="158" t="s">
        <v>3</v>
      </c>
      <c r="K21" s="113"/>
      <c r="L21" s="113"/>
      <c r="M21" s="113"/>
      <c r="N21" s="159" t="s">
        <v>46</v>
      </c>
      <c r="O21" s="159"/>
      <c r="P21" s="115" t="s">
        <v>1</v>
      </c>
      <c r="Q21" s="115"/>
      <c r="R21" s="115"/>
      <c r="S21" s="115"/>
      <c r="T21" s="15">
        <v>12</v>
      </c>
      <c r="U21" s="116" t="s">
        <v>37</v>
      </c>
      <c r="V21" s="116"/>
      <c r="W21" s="116"/>
      <c r="X21" s="116"/>
      <c r="Y21" s="15">
        <v>11</v>
      </c>
      <c r="Z21" s="116" t="s">
        <v>38</v>
      </c>
      <c r="AA21" s="116"/>
      <c r="AB21" s="116"/>
      <c r="AC21" s="116"/>
      <c r="AD21" s="15">
        <v>32</v>
      </c>
      <c r="AE21" s="26"/>
      <c r="AF21" s="26"/>
      <c r="AG21" s="26"/>
      <c r="AH21" s="26"/>
      <c r="AI21" s="85"/>
    </row>
    <row r="22" spans="1:35" x14ac:dyDescent="0.25">
      <c r="A22" s="70">
        <v>1</v>
      </c>
      <c r="B22" s="87">
        <f>IF($N$21=$E$1,1+4.6/$F$1,1+2/$F$1)</f>
        <v>1.4</v>
      </c>
      <c r="C22" s="16">
        <v>0</v>
      </c>
      <c r="D22" s="67">
        <f>(1+MIN(Y$21,T$21-C22-1))</f>
        <v>12</v>
      </c>
      <c r="E22" s="63">
        <f t="shared" ref="E22:E25" si="15">MAX(($G$1/($F$1*D22))^(1/(ROUNDUP(D22/3,)-1)),1)</f>
        <v>1</v>
      </c>
      <c r="F22" s="82">
        <f>IF(F$2&lt;=CEILING(IF($N$21=$E$1,4,MIN(IF($N$21=$D$1,24,0)/3,4)),1),CEILING(IF($N$21=$D$1,$F$1*(1-0)*IF($AD$21&gt;=$H$1,1,$AD$21/$H$1)*(CEILING(24-1,1)+1)/(F$2+1),IF($N$21=$E$1,4.8*(CEILING($D$22-1,1)+1)/(F$2+1),0)),0.1),0)</f>
        <v>60</v>
      </c>
      <c r="G22" s="28">
        <f>IF(G$2&lt;=CEILING(IF($N$21=$E$1,4,MIN(IF($N$21=$D$1,24,0)/3,4)),1),CEILING(IF($N$21=$D$1,$F$1*(1-0)*IF($AD$21&gt;=$H$1,1,$AD$21/$H$1)*(CEILING(24-1,1)+1)/(G$2+1),IF($N$21=$E$1,4.8*(CEILING($D$22-1,1)+1)/(G$2+1),0)),0.1),0)</f>
        <v>40</v>
      </c>
      <c r="H22" s="28">
        <f t="shared" ref="H22:T22" si="16">IF(H$2&lt;=CEILING(IF($N$21=$E$1,4,MIN(IF($N$21=$D$1,24,0)/3,4)),1),CEILING(IF($N$21=$D$1,$F$1*(1-0)*IF($AD$21&gt;=$H$1,1,$AD$21/$H$1)*(CEILING(24-1,1)+1)/(H$2+1),IF($N$21=$E$1,4.8*(CEILING($D$22-1,1)+1)/(H$2+1),0)),0.1),0)</f>
        <v>30</v>
      </c>
      <c r="I22" s="28">
        <f t="shared" si="16"/>
        <v>24</v>
      </c>
      <c r="J22" s="28">
        <f t="shared" si="16"/>
        <v>0</v>
      </c>
      <c r="K22" s="28">
        <f t="shared" si="16"/>
        <v>0</v>
      </c>
      <c r="L22" s="28">
        <f t="shared" si="16"/>
        <v>0</v>
      </c>
      <c r="M22" s="28">
        <f t="shared" si="16"/>
        <v>0</v>
      </c>
      <c r="N22" s="28">
        <f t="shared" si="16"/>
        <v>0</v>
      </c>
      <c r="O22" s="28">
        <f t="shared" si="16"/>
        <v>0</v>
      </c>
      <c r="P22" s="28">
        <f t="shared" si="16"/>
        <v>0</v>
      </c>
      <c r="Q22" s="28">
        <f t="shared" si="16"/>
        <v>0</v>
      </c>
      <c r="R22" s="28">
        <f t="shared" si="16"/>
        <v>0</v>
      </c>
      <c r="S22" s="28">
        <f t="shared" si="16"/>
        <v>0</v>
      </c>
      <c r="T22" s="28">
        <f t="shared" si="16"/>
        <v>0</v>
      </c>
      <c r="U22" s="152" t="str">
        <f>IF($N$21=$E$1,"Festival A-rækken af 5 eller flere",IF($N$21=$D$1,"Kreds 2, Mellemrække 1","Udenfor pyramiden A-rækken af 4 eller flere"))</f>
        <v>Kreds 2, Mellemrække 1</v>
      </c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3"/>
      <c r="AI22" s="83">
        <f>CEILING($F$1*IF($AD$21&gt;=$H$1,1,$AD$21/$H$1)*$B22*$E22^(F$2-1),0.1)</f>
        <v>7</v>
      </c>
    </row>
    <row r="23" spans="1:35" x14ac:dyDescent="0.25">
      <c r="A23" s="70">
        <v>2</v>
      </c>
      <c r="B23" s="87">
        <f>IF($N$21=$E$1,1+3.8/$F$1,1+1/$F$1)</f>
        <v>1.2</v>
      </c>
      <c r="C23" s="16">
        <v>0</v>
      </c>
      <c r="D23" s="67">
        <f t="shared" ref="D23:D26" si="17">(1+MIN(Y$21,T$21-C23-1))</f>
        <v>12</v>
      </c>
      <c r="E23" s="63">
        <f t="shared" si="15"/>
        <v>1</v>
      </c>
      <c r="F23" s="82">
        <f>IF(F$2&lt;=CEILING(IF($N$21=$E$1,4,MIN(IF($N$21=$D$1,24,0)/3,3)),1),CEILING(IF($N$21=$D$1,$F$1*(1-2/3)*IF($AD$21&gt;=$H$1,1,$AD$21/$H$1)*(CEILING(24-1,1)+1)/(F$2+1),IF($N$21=$E$1,4.4*(CEILING($D$23-1,1)+1)/(F$2+1),0)),0.1),0)</f>
        <v>20</v>
      </c>
      <c r="G23" s="28">
        <f t="shared" ref="G23:T23" si="18">IF(G$2&lt;=CEILING(IF($N$21=$E$1,4,MIN(IF($N$21=$D$1,24,0)/3,3)),1),CEILING(IF($N$21=$D$1,$F$1*(1-2/3)*IF($AD$21&gt;=$H$1,1,$AD$21/$H$1)*(CEILING(24-1,1)+1)/(G$2+1),IF($N$21=$E$1,4.4*(CEILING($D$23-1,1)+1)/(G$2+1),0)),0.1),0)</f>
        <v>13.4</v>
      </c>
      <c r="H23" s="28">
        <f t="shared" si="18"/>
        <v>10</v>
      </c>
      <c r="I23" s="28">
        <f t="shared" si="18"/>
        <v>0</v>
      </c>
      <c r="J23" s="28">
        <f t="shared" si="18"/>
        <v>0</v>
      </c>
      <c r="K23" s="28">
        <f t="shared" si="18"/>
        <v>0</v>
      </c>
      <c r="L23" s="28">
        <f t="shared" si="18"/>
        <v>0</v>
      </c>
      <c r="M23" s="28">
        <f t="shared" si="18"/>
        <v>0</v>
      </c>
      <c r="N23" s="28">
        <f t="shared" si="18"/>
        <v>0</v>
      </c>
      <c r="O23" s="28">
        <f t="shared" si="18"/>
        <v>0</v>
      </c>
      <c r="P23" s="28">
        <f t="shared" si="18"/>
        <v>0</v>
      </c>
      <c r="Q23" s="28">
        <f t="shared" si="18"/>
        <v>0</v>
      </c>
      <c r="R23" s="28">
        <f t="shared" si="18"/>
        <v>0</v>
      </c>
      <c r="S23" s="28">
        <f t="shared" si="18"/>
        <v>0</v>
      </c>
      <c r="T23" s="28">
        <f t="shared" si="18"/>
        <v>0</v>
      </c>
      <c r="U23" s="152" t="str">
        <f>IF($N$21=$E$1,"Festival B-rækken af 5 eller flere",IF($N$21=$D$1,"Kreds 2, Mellemrække 2","Udenfor pyramiden B-rækken af 4 eller flere"))</f>
        <v>Kreds 2, Mellemrække 2</v>
      </c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3"/>
      <c r="AI23" s="83">
        <f>CEILING($F$1*IF($AD$21&gt;=$H$1,1,$AD$21/$H$1)*$B23*$E23^(F$2-1),0.1)</f>
        <v>6</v>
      </c>
    </row>
    <row r="24" spans="1:35" x14ac:dyDescent="0.25">
      <c r="A24" s="70">
        <v>3</v>
      </c>
      <c r="B24" s="87">
        <f>IF($N$21=$E$1,1+3/$F$1,1+0/$F$1)</f>
        <v>1</v>
      </c>
      <c r="C24" s="16">
        <v>0</v>
      </c>
      <c r="D24" s="67">
        <f t="shared" si="17"/>
        <v>12</v>
      </c>
      <c r="E24" s="63">
        <f t="shared" si="15"/>
        <v>1</v>
      </c>
      <c r="F24" s="82">
        <f>IF(F$2&lt;=CEILING(IF($N$21=$E$1,4,MIN(IF($N$21=$D$1,6,0)/3,2)),1),CEILING(IF($N$21=$D$1,$F$1*(1-0)*IF($AD$21&gt;=$H$1,1,$AD$21/$H$1)*(CEILING(6-1,1)+1)/(F$2+1),IF($N$21=$E$1,4*(CEILING($D$24-1,1)+1)/(F$2+1),0)),0.1),0)</f>
        <v>15</v>
      </c>
      <c r="G24" s="28">
        <f t="shared" ref="G24:T24" si="19">IF(G$2&lt;=CEILING(IF($N$21=$E$1,4,MIN(IF($N$21=$D$1,6,0)/3,2)),1),CEILING(IF($N$21=$D$1,$F$1*(1-0)*IF($AD$21&gt;=$H$1,1,$AD$21/$H$1)*(CEILING(6-1,1)+1)/(G$2+1),IF($N$21=$E$1,4*(CEILING($D$24-1,1)+1)/(G$2+1),0)),0.1),0)</f>
        <v>10</v>
      </c>
      <c r="H24" s="28">
        <f t="shared" si="19"/>
        <v>0</v>
      </c>
      <c r="I24" s="28">
        <f t="shared" si="19"/>
        <v>0</v>
      </c>
      <c r="J24" s="28">
        <f t="shared" si="19"/>
        <v>0</v>
      </c>
      <c r="K24" s="28">
        <f t="shared" si="19"/>
        <v>0</v>
      </c>
      <c r="L24" s="28">
        <f t="shared" si="19"/>
        <v>0</v>
      </c>
      <c r="M24" s="28">
        <f t="shared" si="19"/>
        <v>0</v>
      </c>
      <c r="N24" s="28">
        <f t="shared" si="19"/>
        <v>0</v>
      </c>
      <c r="O24" s="28">
        <f t="shared" si="19"/>
        <v>0</v>
      </c>
      <c r="P24" s="28">
        <f t="shared" si="19"/>
        <v>0</v>
      </c>
      <c r="Q24" s="28">
        <f t="shared" si="19"/>
        <v>0</v>
      </c>
      <c r="R24" s="28">
        <f t="shared" si="19"/>
        <v>0</v>
      </c>
      <c r="S24" s="28">
        <f t="shared" si="19"/>
        <v>0</v>
      </c>
      <c r="T24" s="28">
        <f t="shared" si="19"/>
        <v>0</v>
      </c>
      <c r="U24" s="152" t="str">
        <f>IF($N$21=$E$1,"Festival midterrækker af 5 eller flere",IF($N$21=$D$1,"Distriktets serie 1","Udenfor pyramiden C-rækken af 4 eller flere"))</f>
        <v>Distriktets serie 1</v>
      </c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3"/>
      <c r="AI24" s="83">
        <f>CEILING($F$1*IF($AD$21&gt;=$H$1,1,$AD$21/$H$1)*$B24*$E24^(F$2-1),0.1)</f>
        <v>5</v>
      </c>
    </row>
    <row r="25" spans="1:35" x14ac:dyDescent="0.25">
      <c r="A25" s="70">
        <v>4</v>
      </c>
      <c r="B25" s="87">
        <f>IF($N$21=$E$1,1+2.2/$F$1,1-1/$F$1)</f>
        <v>0.8</v>
      </c>
      <c r="C25" s="16">
        <v>0</v>
      </c>
      <c r="D25" s="67">
        <f t="shared" si="17"/>
        <v>12</v>
      </c>
      <c r="E25" s="63">
        <f t="shared" si="15"/>
        <v>1</v>
      </c>
      <c r="F25" s="82">
        <f>IF(F$2&lt;=CEILING(IF($N$21=$E$1,4,MIN(IF($N$21=$D$1,6,0)/3,2)),1),CEILING(IF($N$21=$D$1,$F$1*(1-1/3)*IF($AD$21&gt;=$H$1,1,$AD$21/$H$1)*(CEILING(6-1,1)+1)/(F$2+1),IF($N$21=$E$1,3.6*(CEILING($D$25-1,1)+1)/(F$2+1),0)),0.1),0)</f>
        <v>10</v>
      </c>
      <c r="G25" s="28">
        <f t="shared" ref="G25:T25" si="20">IF(G$2&lt;=CEILING(IF($N$21=$E$1,4,MIN(IF($N$21=$D$1,6,0)/3,2)),1),CEILING(IF($N$21=$D$1,$F$1*(1-1/3)*IF($AD$21&gt;=$H$1,1,$AD$21/$H$1)*(CEILING(6-1,1)+1)/(G$2+1),IF($N$21=$E$1,3.6*(CEILING($D$25-1,1)+1)/(G$2+1),0)),0.1),0)</f>
        <v>6.7</v>
      </c>
      <c r="H25" s="28">
        <f t="shared" si="20"/>
        <v>0</v>
      </c>
      <c r="I25" s="28">
        <f t="shared" si="20"/>
        <v>0</v>
      </c>
      <c r="J25" s="28">
        <f t="shared" si="20"/>
        <v>0</v>
      </c>
      <c r="K25" s="28">
        <f t="shared" si="20"/>
        <v>0</v>
      </c>
      <c r="L25" s="28">
        <f t="shared" si="20"/>
        <v>0</v>
      </c>
      <c r="M25" s="28">
        <f t="shared" si="20"/>
        <v>0</v>
      </c>
      <c r="N25" s="28">
        <f t="shared" si="20"/>
        <v>0</v>
      </c>
      <c r="O25" s="28">
        <f t="shared" si="20"/>
        <v>0</v>
      </c>
      <c r="P25" s="28">
        <f t="shared" si="20"/>
        <v>0</v>
      </c>
      <c r="Q25" s="28">
        <f t="shared" si="20"/>
        <v>0</v>
      </c>
      <c r="R25" s="28">
        <f t="shared" si="20"/>
        <v>0</v>
      </c>
      <c r="S25" s="28">
        <f t="shared" si="20"/>
        <v>0</v>
      </c>
      <c r="T25" s="28">
        <f t="shared" si="20"/>
        <v>0</v>
      </c>
      <c r="U25" s="152" t="str">
        <f>IF($N$21=$E$1,"Festival næstlaveste række af 5 eller flere",IF($N$21=$D$1,"Distriktets serie 2","Udenfor pyramiden D-rækken af 4 eller flere"))</f>
        <v>Distriktets serie 2</v>
      </c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3"/>
      <c r="AI25" s="83">
        <f>CEILING($F$1*IF($AD$21&gt;=$H$1,1,$AD$21/$H$1)*$B25*$E25^(F$2-1),0.1)</f>
        <v>4</v>
      </c>
    </row>
    <row r="26" spans="1:35" x14ac:dyDescent="0.25">
      <c r="A26" s="59">
        <v>5</v>
      </c>
      <c r="B26" s="88">
        <f>IF($N$21=$E$1,1+1.4/$F$1,1-2/$F$1)</f>
        <v>0.6</v>
      </c>
      <c r="C26" s="17">
        <v>0</v>
      </c>
      <c r="D26" s="69">
        <f t="shared" si="17"/>
        <v>12</v>
      </c>
      <c r="E26" s="65">
        <f>MAX(($G$1/($F$1*D26))^(1/(ROUNDUP(D26/3,)-1)),1)</f>
        <v>1</v>
      </c>
      <c r="F26" s="82">
        <f>IF(F$2&lt;=CEILING(IF($N$21=$E$1,4,MIN(IF($N$21=$D$1,6,0)/3,2)),1),CEILING(IF($N$21=$D$1,$F$1*(1-1/2)*IF($AD$21&gt;=$H$1,1,$AD$21/$H$1)*(CEILING(6-1,1)+1)/(F$2+1),IF($N$21=$E$1,3.2*(CEILING($D$26-1,1)+1)/(F$2+1),0)),0.1),0)</f>
        <v>7.5</v>
      </c>
      <c r="G26" s="28">
        <f t="shared" ref="G26:T26" si="21">IF(G$2&lt;=CEILING(IF($N$21=$E$1,4,MIN(IF($N$21=$D$1,6,0)/3,2)),1),CEILING(IF($N$21=$D$1,$F$1*(1-1/2)*IF($AD$21&gt;=$H$1,1,$AD$21/$H$1)*(CEILING(6-1,1)+1)/(G$2+1),IF($N$21=$E$1,3.2*(CEILING($D$26-1,1)+1)/(G$2+1),0)),0.1),0)</f>
        <v>5</v>
      </c>
      <c r="H26" s="28">
        <f t="shared" si="21"/>
        <v>0</v>
      </c>
      <c r="I26" s="28">
        <f t="shared" si="21"/>
        <v>0</v>
      </c>
      <c r="J26" s="28">
        <f t="shared" si="21"/>
        <v>0</v>
      </c>
      <c r="K26" s="28">
        <f t="shared" si="21"/>
        <v>0</v>
      </c>
      <c r="L26" s="28">
        <f t="shared" si="21"/>
        <v>0</v>
      </c>
      <c r="M26" s="28">
        <f t="shared" si="21"/>
        <v>0</v>
      </c>
      <c r="N26" s="28">
        <f t="shared" si="21"/>
        <v>0</v>
      </c>
      <c r="O26" s="28">
        <f t="shared" si="21"/>
        <v>0</v>
      </c>
      <c r="P26" s="28">
        <f t="shared" si="21"/>
        <v>0</v>
      </c>
      <c r="Q26" s="28">
        <f t="shared" si="21"/>
        <v>0</v>
      </c>
      <c r="R26" s="28">
        <f t="shared" si="21"/>
        <v>0</v>
      </c>
      <c r="S26" s="28">
        <f t="shared" si="21"/>
        <v>0</v>
      </c>
      <c r="T26" s="28">
        <f t="shared" si="21"/>
        <v>0</v>
      </c>
      <c r="U26" s="152" t="str">
        <f>IF($N$21=$E$1,"Festival laveste række af 5 eller flere",IF($N$21=$D$1,"Distriktets serie 3","Udenfor pyramiden rækkerne lavere end 4 af flere end 4"))</f>
        <v>Distriktets serie 3</v>
      </c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3"/>
      <c r="AI26" s="89">
        <f>CEILING($F$1*IF($AD$21&gt;=$H$1,1,$AD$21/$H$1)*$B26*$E26^(F$2-1),0.1)</f>
        <v>3</v>
      </c>
    </row>
    <row r="27" spans="1:35" ht="15" customHeight="1" x14ac:dyDescent="0.25">
      <c r="A27" s="12"/>
      <c r="B27" s="9"/>
      <c r="C27" s="9"/>
      <c r="D27" s="9"/>
      <c r="E27" s="9"/>
      <c r="F27" s="143" t="s">
        <v>40</v>
      </c>
      <c r="G27" s="143"/>
      <c r="H27" s="143"/>
      <c r="I27" s="9"/>
      <c r="J27" s="10"/>
      <c r="K27" s="10"/>
      <c r="L27" s="10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44" t="s">
        <v>41</v>
      </c>
      <c r="AI27" s="145"/>
    </row>
    <row r="28" spans="1:35" x14ac:dyDescent="0.25">
      <c r="A28" s="72" t="s">
        <v>14</v>
      </c>
    </row>
    <row r="29" spans="1:35" x14ac:dyDescent="0.25">
      <c r="C29" s="119" t="s">
        <v>42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</row>
    <row r="30" spans="1:35" x14ac:dyDescent="0.25">
      <c r="C30" s="154" t="s">
        <v>49</v>
      </c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5" x14ac:dyDescent="0.25">
      <c r="C31" s="104" t="s">
        <v>44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</row>
    <row r="32" spans="1:35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33" spans="3:4" x14ac:dyDescent="0.25">
      <c r="C33" s="72"/>
      <c r="D33" s="72"/>
    </row>
    <row r="34" spans="3:4" x14ac:dyDescent="0.25">
      <c r="C34" s="72"/>
      <c r="D34" s="72"/>
    </row>
    <row r="35" spans="3:4" x14ac:dyDescent="0.25">
      <c r="C35" s="72"/>
      <c r="D35" s="72"/>
    </row>
    <row r="36" spans="3:4" x14ac:dyDescent="0.25">
      <c r="C36" s="72"/>
      <c r="D36" s="72"/>
    </row>
    <row r="37" spans="3:4" x14ac:dyDescent="0.25">
      <c r="C37" s="72"/>
      <c r="D37" s="72"/>
    </row>
    <row r="38" spans="3:4" x14ac:dyDescent="0.25">
      <c r="C38" s="72"/>
      <c r="D38" s="72"/>
    </row>
    <row r="39" spans="3:4" x14ac:dyDescent="0.25">
      <c r="C39" s="72"/>
      <c r="D39" s="72"/>
    </row>
    <row r="40" spans="3:4" x14ac:dyDescent="0.25">
      <c r="C40" s="72"/>
      <c r="D40" s="72"/>
    </row>
    <row r="41" spans="3:4" x14ac:dyDescent="0.25">
      <c r="C41" s="72"/>
      <c r="D41" s="72"/>
    </row>
    <row r="42" spans="3:4" x14ac:dyDescent="0.25">
      <c r="C42" s="72"/>
      <c r="D42" s="72"/>
    </row>
    <row r="43" spans="3:4" x14ac:dyDescent="0.25">
      <c r="C43" s="72"/>
      <c r="D43" s="72"/>
    </row>
    <row r="44" spans="3:4" x14ac:dyDescent="0.25">
      <c r="C44" s="72"/>
      <c r="D44" s="72"/>
    </row>
    <row r="45" spans="3:4" x14ac:dyDescent="0.25">
      <c r="C45" s="72"/>
      <c r="D45" s="72"/>
    </row>
    <row r="46" spans="3:4" x14ac:dyDescent="0.25">
      <c r="C46" s="72"/>
      <c r="D46" s="72"/>
    </row>
    <row r="47" spans="3:4" x14ac:dyDescent="0.25">
      <c r="C47" s="72"/>
      <c r="D47" s="72"/>
    </row>
    <row r="48" spans="3:4" x14ac:dyDescent="0.25">
      <c r="C48" s="72"/>
      <c r="D48" s="72"/>
    </row>
    <row r="49" spans="3:4" x14ac:dyDescent="0.25">
      <c r="C49" s="72"/>
      <c r="D49" s="72"/>
    </row>
    <row r="50" spans="3:4" x14ac:dyDescent="0.25">
      <c r="C50" s="72"/>
      <c r="D50" s="72"/>
    </row>
    <row r="51" spans="3:4" x14ac:dyDescent="0.25">
      <c r="C51" s="72"/>
      <c r="D51" s="72"/>
    </row>
    <row r="52" spans="3:4" x14ac:dyDescent="0.25">
      <c r="C52" s="72"/>
      <c r="D52" s="72"/>
    </row>
    <row r="53" spans="3:4" x14ac:dyDescent="0.25">
      <c r="C53" s="72"/>
      <c r="D53" s="72"/>
    </row>
    <row r="54" spans="3:4" x14ac:dyDescent="0.25">
      <c r="C54" s="72"/>
      <c r="D54" s="72"/>
    </row>
    <row r="55" spans="3:4" x14ac:dyDescent="0.25">
      <c r="C55" s="72"/>
      <c r="D55" s="72"/>
    </row>
    <row r="56" spans="3:4" x14ac:dyDescent="0.25">
      <c r="C56" s="72"/>
      <c r="D56" s="72"/>
    </row>
    <row r="57" spans="3:4" x14ac:dyDescent="0.25">
      <c r="C57" s="72"/>
      <c r="D57" s="72"/>
    </row>
    <row r="58" spans="3:4" x14ac:dyDescent="0.25">
      <c r="C58" s="72"/>
      <c r="D58" s="72"/>
    </row>
    <row r="59" spans="3:4" x14ac:dyDescent="0.25">
      <c r="C59" s="72"/>
      <c r="D59" s="72"/>
    </row>
    <row r="60" spans="3:4" x14ac:dyDescent="0.25">
      <c r="C60" s="72"/>
      <c r="D60" s="72"/>
    </row>
    <row r="61" spans="3:4" x14ac:dyDescent="0.25">
      <c r="C61" s="72"/>
      <c r="D61" s="72"/>
    </row>
    <row r="62" spans="3:4" x14ac:dyDescent="0.25">
      <c r="C62" s="72"/>
      <c r="D62" s="72"/>
    </row>
    <row r="63" spans="3:4" x14ac:dyDescent="0.25">
      <c r="C63" s="72"/>
      <c r="D63" s="72"/>
    </row>
    <row r="64" spans="3:4" x14ac:dyDescent="0.25">
      <c r="C64" s="72"/>
      <c r="D64" s="72"/>
    </row>
    <row r="65" spans="1:35" x14ac:dyDescent="0.25">
      <c r="C65" s="72"/>
      <c r="D65" s="72"/>
    </row>
    <row r="66" spans="1:35" x14ac:dyDescent="0.25">
      <c r="C66" s="72"/>
      <c r="D66" s="72"/>
    </row>
    <row r="67" spans="1:35" x14ac:dyDescent="0.25">
      <c r="C67" s="72"/>
      <c r="D67" s="72"/>
    </row>
    <row r="68" spans="1:35" x14ac:dyDescent="0.25">
      <c r="C68" s="72"/>
      <c r="D68" s="72"/>
    </row>
    <row r="69" spans="1:35" x14ac:dyDescent="0.25">
      <c r="C69" s="72"/>
      <c r="D69" s="72"/>
    </row>
    <row r="70" spans="1:35" x14ac:dyDescent="0.25">
      <c r="C70" s="72"/>
      <c r="D70" s="72"/>
    </row>
    <row r="71" spans="1:35" x14ac:dyDescent="0.25">
      <c r="C71" s="72"/>
      <c r="D71" s="72"/>
    </row>
    <row r="72" spans="1:35" x14ac:dyDescent="0.25">
      <c r="A72" s="1"/>
      <c r="B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C73" s="72"/>
      <c r="D73" s="72"/>
    </row>
    <row r="74" spans="1:35" x14ac:dyDescent="0.25">
      <c r="C74" s="72"/>
      <c r="D74" s="72"/>
    </row>
    <row r="75" spans="1:35" x14ac:dyDescent="0.25">
      <c r="C75" s="72"/>
      <c r="D75" s="72"/>
    </row>
    <row r="76" spans="1:35" x14ac:dyDescent="0.25">
      <c r="C76" s="72"/>
      <c r="D76" s="72"/>
    </row>
    <row r="77" spans="1:35" x14ac:dyDescent="0.25">
      <c r="C77" s="72"/>
      <c r="D77" s="72"/>
    </row>
  </sheetData>
  <sheetProtection password="C4EE" sheet="1" objects="1" scenarios="1"/>
  <mergeCells count="60">
    <mergeCell ref="N1:W1"/>
    <mergeCell ref="A2:B2"/>
    <mergeCell ref="C2:D2"/>
    <mergeCell ref="AH2:AI2"/>
    <mergeCell ref="A3:B3"/>
    <mergeCell ref="F3:H3"/>
    <mergeCell ref="J3:M3"/>
    <mergeCell ref="N3:O3"/>
    <mergeCell ref="P3:S3"/>
    <mergeCell ref="U3:X3"/>
    <mergeCell ref="Z3:AC3"/>
    <mergeCell ref="F5:H5"/>
    <mergeCell ref="F6:H6"/>
    <mergeCell ref="J6:M6"/>
    <mergeCell ref="N6:O6"/>
    <mergeCell ref="P6:S6"/>
    <mergeCell ref="Z6:AC6"/>
    <mergeCell ref="F9:H9"/>
    <mergeCell ref="F10:H10"/>
    <mergeCell ref="J10:M10"/>
    <mergeCell ref="N10:O10"/>
    <mergeCell ref="P10:S10"/>
    <mergeCell ref="Z10:AC10"/>
    <mergeCell ref="J15:M15"/>
    <mergeCell ref="N15:O15"/>
    <mergeCell ref="P15:S15"/>
    <mergeCell ref="U6:X6"/>
    <mergeCell ref="U15:X15"/>
    <mergeCell ref="Z15:AC15"/>
    <mergeCell ref="U10:X10"/>
    <mergeCell ref="C31:AH31"/>
    <mergeCell ref="F20:H20"/>
    <mergeCell ref="F21:H21"/>
    <mergeCell ref="J21:M21"/>
    <mergeCell ref="N21:O21"/>
    <mergeCell ref="P21:S21"/>
    <mergeCell ref="U21:X21"/>
    <mergeCell ref="U26:AH26"/>
    <mergeCell ref="U22:AH22"/>
    <mergeCell ref="U23:AH23"/>
    <mergeCell ref="U24:AH24"/>
    <mergeCell ref="U25:AH25"/>
    <mergeCell ref="F14:H14"/>
    <mergeCell ref="F15:H15"/>
    <mergeCell ref="C32:AH32"/>
    <mergeCell ref="U4:AH4"/>
    <mergeCell ref="U7:AH7"/>
    <mergeCell ref="U8:AH8"/>
    <mergeCell ref="U11:AH11"/>
    <mergeCell ref="U12:AH12"/>
    <mergeCell ref="U13:AH13"/>
    <mergeCell ref="U16:AH16"/>
    <mergeCell ref="U17:AH17"/>
    <mergeCell ref="U18:AH18"/>
    <mergeCell ref="Z21:AC21"/>
    <mergeCell ref="F27:H27"/>
    <mergeCell ref="AH27:AI27"/>
    <mergeCell ref="C29:AH29"/>
    <mergeCell ref="C30:AH30"/>
    <mergeCell ref="U19:AH19"/>
  </mergeCells>
  <conditionalFormatting sqref="F4:AI4">
    <cfRule type="cellIs" dxfId="9" priority="5" operator="equal">
      <formula>0</formula>
    </cfRule>
  </conditionalFormatting>
  <conditionalFormatting sqref="F7:AI8">
    <cfRule type="cellIs" dxfId="8" priority="4" operator="equal">
      <formula>0</formula>
    </cfRule>
  </conditionalFormatting>
  <conditionalFormatting sqref="F11:AI13">
    <cfRule type="cellIs" dxfId="7" priority="3" operator="equal">
      <formula>0</formula>
    </cfRule>
  </conditionalFormatting>
  <conditionalFormatting sqref="F16:AI19">
    <cfRule type="cellIs" dxfId="6" priority="2" operator="equal">
      <formula>0</formula>
    </cfRule>
  </conditionalFormatting>
  <conditionalFormatting sqref="F22:AI26">
    <cfRule type="cellIs" dxfId="5" priority="1" operator="equal">
      <formula>0</formula>
    </cfRule>
  </conditionalFormatting>
  <dataValidations count="8"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type="whole" operator="greaterThanOrEqual" allowBlank="1" showInputMessage="1" showErrorMessage="1" errorTitle="Fejl" error="Kun postive heltal" promptTitle="Minimum" prompt="Mindst 4 deltagere,  hvis bonus" sqref="T3 T6 T10 T15 T21">
      <formula1>4</formula1>
    </dataValidation>
    <dataValidation allowBlank="1" showInputMessage="1" showErrorMessage="1" promptTitle="&quot;dnul&quot;" prompt="Det beregnede antal deltagere" sqref="D4 D7:D8 D11:D13 D16:D19 D22:D26"/>
    <dataValidation allowBlank="1" showInputMessage="1" showErrorMessage="1" promptTitle="Q-værdi" prompt="Q = 1, fordi holdet kun har 1 modstander i hele kampen." sqref="E4 E7:E8 E11:E13 E16:E19 E22:E26"/>
    <dataValidation type="whole" operator="greaterThan" allowBlank="1" showInputMessage="1" showErrorMessage="1" errorTitle="Fejl" error="Kun postive heltal" sqref="AD21 AD15 AD10 AD6 AD3 Y21 Y15 Y10 Y6 Y3">
      <formula1>0</formula1>
    </dataValidation>
    <dataValidation type="list" showInputMessage="1" showErrorMessage="1" errorTitle="Arrangør" error="Intet valg: Alle" promptTitle="Arrangør" prompt="Kun udvalgte turneringer  får bonus." sqref="N3:O3 N6:O6 N10:O10 N15:O15 N21:O21">
      <formula1>$C$1:$E$1</formula1>
    </dataValidation>
    <dataValidation allowBlank="1" showInputMessage="1" showErrorMessage="1" promptTitle="SP pr. spiller" prompt="SP såfremt spilleren har spillet hele kampen." sqref="AI4 AI7:AI8 AI22:AI26 AI16:AI19 AI11:AI13"/>
    <dataValidation allowBlank="1" showInputMessage="1" showErrorMessage="1" promptTitle="Flere end 5 i pyramiden" prompt="Bonus og SP for kampe_x000a_på lavere niveau er de_x000a_samme som på 5. niveau." sqref="I21"/>
  </dataValidations>
  <pageMargins left="0.31496062992125984" right="0.31496062992125984" top="1.7322834645669292" bottom="0.74803149606299213" header="0.31496062992125984" footer="0.31496062992125984"/>
  <pageSetup paperSize="9" scale="87" orientation="landscape" horizontalDpi="4294967295" verticalDpi="4294967295" r:id="rId1"/>
  <headerFooter>
    <oddHeader>&amp;L&amp;G&amp;C&amp;20Sølvpoint i holdturneringer&amp;RVersion 1.0</oddHeader>
    <oddFooter>&amp;CUdskrevet: &amp;D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zoomScaleNormal="100" workbookViewId="0">
      <selection activeCell="N3" sqref="N3:O3"/>
    </sheetView>
  </sheetViews>
  <sheetFormatPr defaultRowHeight="15" x14ac:dyDescent="0.25"/>
  <cols>
    <col min="1" max="1" width="2.28515625" style="72" customWidth="1"/>
    <col min="2" max="2" width="5.28515625" style="72" customWidth="1"/>
    <col min="3" max="3" width="5.7109375" style="1" customWidth="1"/>
    <col min="4" max="4" width="4.7109375" style="71" customWidth="1"/>
    <col min="5" max="5" width="9.140625" style="72" customWidth="1"/>
    <col min="6" max="7" width="5.7109375" style="72" customWidth="1"/>
    <col min="8" max="8" width="5.42578125" style="72" customWidth="1"/>
    <col min="9" max="13" width="4.7109375" style="72" customWidth="1"/>
    <col min="14" max="35" width="4.28515625" style="72" customWidth="1"/>
    <col min="36" max="16384" width="9.140625" style="72"/>
  </cols>
  <sheetData>
    <row r="1" spans="1:35" x14ac:dyDescent="0.25">
      <c r="A1" s="20">
        <v>0</v>
      </c>
      <c r="B1" s="20">
        <v>1</v>
      </c>
      <c r="C1" s="18" t="s">
        <v>45</v>
      </c>
      <c r="D1" s="19" t="s">
        <v>46</v>
      </c>
      <c r="E1" s="21" t="s">
        <v>47</v>
      </c>
      <c r="F1" s="54">
        <v>0.5</v>
      </c>
      <c r="G1" s="20">
        <v>0.01</v>
      </c>
      <c r="H1" s="80">
        <v>32</v>
      </c>
      <c r="I1" s="80">
        <v>40</v>
      </c>
      <c r="J1" s="21">
        <v>100</v>
      </c>
      <c r="K1" s="21">
        <v>150</v>
      </c>
      <c r="L1" s="21"/>
      <c r="M1" s="21"/>
      <c r="N1" s="142" t="s">
        <v>50</v>
      </c>
      <c r="O1" s="142"/>
      <c r="P1" s="142"/>
      <c r="Q1" s="142"/>
      <c r="R1" s="142"/>
      <c r="S1" s="142"/>
      <c r="T1" s="142"/>
      <c r="U1" s="142"/>
      <c r="V1" s="142"/>
      <c r="W1" s="142"/>
    </row>
    <row r="2" spans="1:35" x14ac:dyDescent="0.25">
      <c r="A2" s="105" t="s">
        <v>8</v>
      </c>
      <c r="B2" s="106"/>
      <c r="C2" s="110" t="s">
        <v>9</v>
      </c>
      <c r="D2" s="111"/>
      <c r="E2" s="22" t="s">
        <v>13</v>
      </c>
      <c r="F2" s="23">
        <v>1</v>
      </c>
      <c r="G2" s="23">
        <v>2</v>
      </c>
      <c r="H2" s="23">
        <v>3</v>
      </c>
      <c r="I2" s="23">
        <v>4</v>
      </c>
      <c r="J2" s="23">
        <v>5</v>
      </c>
      <c r="K2" s="23">
        <v>6</v>
      </c>
      <c r="L2" s="23">
        <v>7</v>
      </c>
      <c r="M2" s="23">
        <v>8</v>
      </c>
      <c r="N2" s="23">
        <v>9</v>
      </c>
      <c r="O2" s="23">
        <v>10</v>
      </c>
      <c r="P2" s="23">
        <v>11</v>
      </c>
      <c r="Q2" s="23">
        <v>12</v>
      </c>
      <c r="R2" s="23">
        <v>13</v>
      </c>
      <c r="S2" s="23">
        <v>14</v>
      </c>
      <c r="T2" s="23">
        <v>15</v>
      </c>
      <c r="U2" s="23">
        <v>16</v>
      </c>
      <c r="V2" s="23">
        <v>17</v>
      </c>
      <c r="W2" s="23">
        <v>18</v>
      </c>
      <c r="X2" s="23">
        <v>19</v>
      </c>
      <c r="Y2" s="23">
        <v>20</v>
      </c>
      <c r="Z2" s="23">
        <v>21</v>
      </c>
      <c r="AA2" s="23">
        <v>22</v>
      </c>
      <c r="AB2" s="23">
        <v>23</v>
      </c>
      <c r="AC2" s="23">
        <v>24</v>
      </c>
      <c r="AD2" s="23">
        <v>25</v>
      </c>
      <c r="AE2" s="23">
        <v>26</v>
      </c>
      <c r="AF2" s="23">
        <v>27</v>
      </c>
      <c r="AG2" s="23">
        <v>28</v>
      </c>
      <c r="AH2" s="148" t="s">
        <v>36</v>
      </c>
      <c r="AI2" s="149"/>
    </row>
    <row r="3" spans="1:35" x14ac:dyDescent="0.25">
      <c r="A3" s="107" t="s">
        <v>7</v>
      </c>
      <c r="B3" s="108"/>
      <c r="C3" s="5" t="s">
        <v>10</v>
      </c>
      <c r="D3" s="66" t="s">
        <v>33</v>
      </c>
      <c r="E3" s="62" t="s">
        <v>12</v>
      </c>
      <c r="F3" s="112" t="s">
        <v>11</v>
      </c>
      <c r="G3" s="112"/>
      <c r="H3" s="112"/>
      <c r="I3" s="25">
        <v>1</v>
      </c>
      <c r="J3" s="113" t="s">
        <v>3</v>
      </c>
      <c r="K3" s="113"/>
      <c r="L3" s="113"/>
      <c r="M3" s="113"/>
      <c r="N3" s="160" t="s">
        <v>46</v>
      </c>
      <c r="O3" s="160"/>
      <c r="P3" s="115" t="s">
        <v>1</v>
      </c>
      <c r="Q3" s="115"/>
      <c r="R3" s="115"/>
      <c r="S3" s="115"/>
      <c r="T3" s="15">
        <v>6</v>
      </c>
      <c r="U3" s="116" t="s">
        <v>37</v>
      </c>
      <c r="V3" s="116"/>
      <c r="W3" s="116"/>
      <c r="X3" s="116"/>
      <c r="Y3" s="15">
        <v>5</v>
      </c>
      <c r="Z3" s="116" t="s">
        <v>38</v>
      </c>
      <c r="AA3" s="116"/>
      <c r="AB3" s="116"/>
      <c r="AC3" s="116"/>
      <c r="AD3" s="15">
        <v>40</v>
      </c>
      <c r="AE3" s="26"/>
      <c r="AF3" s="26"/>
      <c r="AG3" s="26"/>
      <c r="AH3" s="26"/>
      <c r="AI3" s="81"/>
    </row>
    <row r="4" spans="1:35" x14ac:dyDescent="0.25">
      <c r="A4" s="70">
        <v>1</v>
      </c>
      <c r="B4" s="74">
        <f>IF($N$3=$E$1,1+0.3/$F$1,IF($N$3=$D$1,1+7/3,1+0/$F$1))</f>
        <v>3.3333333333333335</v>
      </c>
      <c r="C4" s="16">
        <v>0</v>
      </c>
      <c r="D4" s="67">
        <f>(1+MIN(Y3,T3-C4-1))</f>
        <v>6</v>
      </c>
      <c r="E4" s="63">
        <f>MAX(($G$1/($F$1*D4))^(1/(ROUNDUP(D4/3,)-1)),1)</f>
        <v>1</v>
      </c>
      <c r="F4" s="90">
        <f t="shared" ref="F4:S4" si="0">IF(F$2&lt;=CEILING(IF($N$3=$E$1,4,IF($N$3=$D$1,3,0)),1),CEILING(IF($N$3=$D$1,$F$1*(1-0)*IF($AD$3&gt;=$I$1,1,$I$1/$I$1)*((CEILING(12-1,1)+1)-4*(F$2-1)),IF($N$3=$E$1,0.4*(CEILING($D$4-1,1)+1)/(F$2+1),0)),0.01),0)</f>
        <v>6</v>
      </c>
      <c r="G4" s="90">
        <f t="shared" si="0"/>
        <v>4</v>
      </c>
      <c r="H4" s="90">
        <f t="shared" si="0"/>
        <v>2</v>
      </c>
      <c r="I4" s="90">
        <f t="shared" si="0"/>
        <v>0</v>
      </c>
      <c r="J4" s="90">
        <f t="shared" si="0"/>
        <v>0</v>
      </c>
      <c r="K4" s="90">
        <f t="shared" si="0"/>
        <v>0</v>
      </c>
      <c r="L4" s="90">
        <f t="shared" si="0"/>
        <v>0</v>
      </c>
      <c r="M4" s="90">
        <f t="shared" si="0"/>
        <v>0</v>
      </c>
      <c r="N4" s="90">
        <f t="shared" si="0"/>
        <v>0</v>
      </c>
      <c r="O4" s="90">
        <f t="shared" si="0"/>
        <v>0</v>
      </c>
      <c r="P4" s="90">
        <f t="shared" si="0"/>
        <v>0</v>
      </c>
      <c r="Q4" s="90">
        <f t="shared" si="0"/>
        <v>0</v>
      </c>
      <c r="R4" s="90">
        <f t="shared" si="0"/>
        <v>0</v>
      </c>
      <c r="S4" s="90">
        <f t="shared" si="0"/>
        <v>0</v>
      </c>
      <c r="T4" s="90">
        <f>IF(T$2&lt;=CEILING(IF($N$3=$E$1,4,IF($N$3=$D$1,3,0)),1),CEILING(IF($N$3=$D$1,$F$1*(1-0)*IF($AD$3&gt;=$H$1,1,$I$1/$H$1)*((CEILING(12-1,1)+1)-4*(T$2-1)),IF($N$3=$E$1,0.4*(CEILING($D$4-1,1)+1)/(T$2+1),0)),0.01),0)</f>
        <v>0</v>
      </c>
      <c r="U4" s="150" t="str">
        <f>IF($N$3=$E$1,"Festival en eller flere rækker af vilkårlig styrke",IF($N$3=$D$1,"DM for klubhold","Udenfor pyramiden en eller flere rækker af vilkårlig styrke"))</f>
        <v>DM for klubhold</v>
      </c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1"/>
      <c r="AI4" s="91">
        <f>CEILING($F$1*IF($AD$3&gt;=$I$1,1,$AD$3/$I$1)*$B4*$E4^(F$2-1),0.01)</f>
        <v>1.67</v>
      </c>
    </row>
    <row r="5" spans="1:35" ht="15" customHeight="1" x14ac:dyDescent="0.25">
      <c r="A5" s="70"/>
      <c r="B5" s="74"/>
      <c r="C5" s="6"/>
      <c r="D5" s="68"/>
      <c r="E5" s="64"/>
      <c r="F5" s="146" t="s">
        <v>39</v>
      </c>
      <c r="G5" s="147"/>
      <c r="H5" s="147"/>
      <c r="I5" s="49"/>
      <c r="J5" s="50"/>
      <c r="K5" s="50"/>
      <c r="L5" s="50"/>
      <c r="M5" s="50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92"/>
    </row>
    <row r="6" spans="1:35" x14ac:dyDescent="0.25">
      <c r="A6" s="70"/>
      <c r="B6" s="74"/>
      <c r="C6" s="6"/>
      <c r="D6" s="68"/>
      <c r="E6" s="64"/>
      <c r="F6" s="117" t="s">
        <v>11</v>
      </c>
      <c r="G6" s="117"/>
      <c r="H6" s="117"/>
      <c r="I6" s="36">
        <v>2</v>
      </c>
      <c r="J6" s="113" t="s">
        <v>3</v>
      </c>
      <c r="K6" s="113"/>
      <c r="L6" s="113"/>
      <c r="M6" s="113"/>
      <c r="N6" s="159" t="s">
        <v>46</v>
      </c>
      <c r="O6" s="159"/>
      <c r="P6" s="115" t="s">
        <v>1</v>
      </c>
      <c r="Q6" s="115"/>
      <c r="R6" s="115"/>
      <c r="S6" s="115"/>
      <c r="T6" s="15">
        <v>6</v>
      </c>
      <c r="U6" s="116" t="s">
        <v>37</v>
      </c>
      <c r="V6" s="116"/>
      <c r="W6" s="116"/>
      <c r="X6" s="116"/>
      <c r="Y6" s="15">
        <v>5</v>
      </c>
      <c r="Z6" s="116" t="s">
        <v>38</v>
      </c>
      <c r="AA6" s="116"/>
      <c r="AB6" s="116"/>
      <c r="AC6" s="116"/>
      <c r="AD6" s="15">
        <v>40</v>
      </c>
      <c r="AE6" s="26"/>
      <c r="AF6" s="26"/>
      <c r="AG6" s="26"/>
      <c r="AH6" s="26"/>
      <c r="AI6" s="93"/>
    </row>
    <row r="7" spans="1:35" x14ac:dyDescent="0.25">
      <c r="A7" s="70">
        <v>1</v>
      </c>
      <c r="B7" s="74">
        <f>IF($N$6=$E$1,1+0.38/$F$1,IF($N$6=$D$1,1+3/2,1+0/$F$1))</f>
        <v>2.5</v>
      </c>
      <c r="C7" s="16">
        <v>0</v>
      </c>
      <c r="D7" s="67">
        <f>(1+MIN(Y$6,T$6-C7-1))</f>
        <v>6</v>
      </c>
      <c r="E7" s="63">
        <f t="shared" ref="E7:E8" si="1">MAX(($G$1/($F$1*D7))^(1/(ROUNDUP(D7/3,)-1)),1)</f>
        <v>1</v>
      </c>
      <c r="F7" s="90">
        <f t="shared" ref="F7:S7" si="2">IF(F$2&lt;=CEILING(IF($N$6=$E$1,4,IF($N$6=$D$1,3,0)),1),CEILING(IF($N$6=$D$1,$F$1*(1-0)*IF($AD$6&gt;=$I$1,1,$I$1/$I$1)*((CEILING(14-1,1)+1)-4*(F$2-1)),IF($N$6=$E$1,0.44*(CEILING($D$7-1,1)+1)/(F$2+1),0)),0.01),0)</f>
        <v>7</v>
      </c>
      <c r="G7" s="90">
        <f t="shared" si="2"/>
        <v>5</v>
      </c>
      <c r="H7" s="90">
        <f t="shared" si="2"/>
        <v>3</v>
      </c>
      <c r="I7" s="90">
        <f t="shared" si="2"/>
        <v>0</v>
      </c>
      <c r="J7" s="90">
        <f t="shared" si="2"/>
        <v>0</v>
      </c>
      <c r="K7" s="90">
        <f t="shared" si="2"/>
        <v>0</v>
      </c>
      <c r="L7" s="90">
        <f t="shared" si="2"/>
        <v>0</v>
      </c>
      <c r="M7" s="90">
        <f t="shared" si="2"/>
        <v>0</v>
      </c>
      <c r="N7" s="90">
        <f t="shared" si="2"/>
        <v>0</v>
      </c>
      <c r="O7" s="90">
        <f t="shared" si="2"/>
        <v>0</v>
      </c>
      <c r="P7" s="90">
        <f t="shared" si="2"/>
        <v>0</v>
      </c>
      <c r="Q7" s="90">
        <f t="shared" si="2"/>
        <v>0</v>
      </c>
      <c r="R7" s="90">
        <f t="shared" si="2"/>
        <v>0</v>
      </c>
      <c r="S7" s="90">
        <f t="shared" si="2"/>
        <v>0</v>
      </c>
      <c r="T7" s="90">
        <f>IF(T$2&lt;=CEILING(IF($N$6=$E$1,4,IF($N$6=$D$1,3,0)),1),CEILING(IF($N$6=$D$1,$F$1*(1-0)*IF($AD$6&gt;=$H$1,1,$I$1/$H$1)*((CEILING(14-1,1)+1)-4*(T$2-1)),IF($N$6=$E$1,0.44*(CEILING($D$7-1,1)+1)/(T$2+1),0)),0.01),0)</f>
        <v>0</v>
      </c>
      <c r="U7" s="152" t="str">
        <f>IF($N$6=$E$1,"Festival A-rækken af 2",IF($N$6=$D$1,"1. Damedivision eller Juniorhold A-finale","Udenfor pyramiden A-rækken af 2"))</f>
        <v>1. Damedivision eller Juniorhold A-finale</v>
      </c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3"/>
      <c r="AI7" s="91">
        <f>CEILING($F$1*IF($AD$6&gt;=$I$1,1,$AD$6/$I$1)*$B7*$E7^(F$2-1),0.01)</f>
        <v>1.25</v>
      </c>
    </row>
    <row r="8" spans="1:35" x14ac:dyDescent="0.25">
      <c r="A8" s="70">
        <v>2</v>
      </c>
      <c r="B8" s="74">
        <f>IF($N$6=$E$1,1+0.22/$F$1,IF($N$6=$D$1,1+1/2,1-0.1/$F$1))</f>
        <v>1.5</v>
      </c>
      <c r="C8" s="16">
        <v>0</v>
      </c>
      <c r="D8" s="67">
        <f>(1+MIN(Y$6,T$6-C8-1))</f>
        <v>6</v>
      </c>
      <c r="E8" s="63">
        <f t="shared" si="1"/>
        <v>1</v>
      </c>
      <c r="F8" s="90">
        <f t="shared" ref="F8:S8" si="3">IF(F$2&lt;=CEILING(IF($N$6=$E$1,4,IF($N$6=$D$1,2,0)),1),CEILING(IF($N$6=$D$1,$F$1*(1-0)*IF($AD$6&gt;=$I$1,1,$I$1/$I$1)*((CEILING(4-1,1)+1)-2*(F$2-1)),IF($N$6=$E$1,0.36*(CEILING($D$8-1,1)+1)/(F$2+1),0)),0.01),0)</f>
        <v>2</v>
      </c>
      <c r="G8" s="90">
        <f t="shared" si="3"/>
        <v>1</v>
      </c>
      <c r="H8" s="90">
        <f t="shared" si="3"/>
        <v>0</v>
      </c>
      <c r="I8" s="90">
        <f t="shared" si="3"/>
        <v>0</v>
      </c>
      <c r="J8" s="90">
        <f t="shared" si="3"/>
        <v>0</v>
      </c>
      <c r="K8" s="90">
        <f t="shared" si="3"/>
        <v>0</v>
      </c>
      <c r="L8" s="90">
        <f t="shared" si="3"/>
        <v>0</v>
      </c>
      <c r="M8" s="90">
        <f t="shared" si="3"/>
        <v>0</v>
      </c>
      <c r="N8" s="90">
        <f t="shared" si="3"/>
        <v>0</v>
      </c>
      <c r="O8" s="90">
        <f t="shared" si="3"/>
        <v>0</v>
      </c>
      <c r="P8" s="90">
        <f t="shared" si="3"/>
        <v>0</v>
      </c>
      <c r="Q8" s="90">
        <f t="shared" si="3"/>
        <v>0</v>
      </c>
      <c r="R8" s="90">
        <f t="shared" si="3"/>
        <v>0</v>
      </c>
      <c r="S8" s="90">
        <f t="shared" si="3"/>
        <v>0</v>
      </c>
      <c r="T8" s="90">
        <f>IF(T$2&lt;=CEILING(IF($N$6=$E$1,4,IF($N$6=$D$1,2,0)),1),CEILING(IF($N$6=$D$1,$F$1*(1-0)*IF($AD$6&gt;=$H$1,1,$I$1/$H$1)*((CEILING(4-1,1)+1)-2*(T$2-1)),IF($N$6=$E$1,0.36*(CEILING($D$8-1,1)+1)/(T$2+1),0)),0.01),0)</f>
        <v>0</v>
      </c>
      <c r="U8" s="152" t="str">
        <f>IF($N$6=$E$1,"Festival B-rækken af 2",IF($N$6=$D$1,"2. Damedivision eller Juniorhold B- og semifinaler","Udenfor pyramiden B-rækken af 2"))</f>
        <v>2. Damedivision eller Juniorhold B- og semifinaler</v>
      </c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3"/>
      <c r="AI8" s="91">
        <f>CEILING($F$1*IF($AD$6&gt;=$I$1,1,$AD$6/$I$1)*$B8*$E8^(F$2-1),0.01)</f>
        <v>0.75</v>
      </c>
    </row>
    <row r="9" spans="1:35" ht="15" customHeight="1" x14ac:dyDescent="0.25">
      <c r="A9" s="70"/>
      <c r="B9" s="74"/>
      <c r="C9" s="6"/>
      <c r="D9" s="68"/>
      <c r="E9" s="64"/>
      <c r="F9" s="146" t="s">
        <v>39</v>
      </c>
      <c r="G9" s="147"/>
      <c r="H9" s="147"/>
      <c r="I9" s="49"/>
      <c r="J9" s="50"/>
      <c r="K9" s="50"/>
      <c r="L9" s="50"/>
      <c r="M9" s="50"/>
      <c r="N9" s="86"/>
      <c r="O9" s="86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92"/>
    </row>
    <row r="10" spans="1:35" x14ac:dyDescent="0.25">
      <c r="A10" s="70"/>
      <c r="B10" s="74"/>
      <c r="C10" s="6"/>
      <c r="D10" s="68"/>
      <c r="E10" s="64"/>
      <c r="F10" s="117" t="s">
        <v>11</v>
      </c>
      <c r="G10" s="117"/>
      <c r="H10" s="117"/>
      <c r="I10" s="36">
        <v>3</v>
      </c>
      <c r="J10" s="113" t="s">
        <v>3</v>
      </c>
      <c r="K10" s="113"/>
      <c r="L10" s="113"/>
      <c r="M10" s="113"/>
      <c r="N10" s="159" t="s">
        <v>46</v>
      </c>
      <c r="O10" s="159"/>
      <c r="P10" s="115" t="s">
        <v>1</v>
      </c>
      <c r="Q10" s="115"/>
      <c r="R10" s="115"/>
      <c r="S10" s="115"/>
      <c r="T10" s="15">
        <v>6</v>
      </c>
      <c r="U10" s="116" t="s">
        <v>37</v>
      </c>
      <c r="V10" s="116"/>
      <c r="W10" s="116"/>
      <c r="X10" s="116"/>
      <c r="Y10" s="15">
        <v>5</v>
      </c>
      <c r="Z10" s="116" t="s">
        <v>38</v>
      </c>
      <c r="AA10" s="116"/>
      <c r="AB10" s="116"/>
      <c r="AC10" s="116"/>
      <c r="AD10" s="15">
        <v>40</v>
      </c>
      <c r="AE10" s="26"/>
      <c r="AF10" s="26"/>
      <c r="AG10" s="26"/>
      <c r="AH10" s="26"/>
      <c r="AI10" s="93"/>
    </row>
    <row r="11" spans="1:35" x14ac:dyDescent="0.25">
      <c r="A11" s="70">
        <v>1</v>
      </c>
      <c r="B11" s="94">
        <f>IF($N$10=$E$1,1+0.42/$F$1,IF($N$10=$D$1,1+9,1+0.1/$F$1))</f>
        <v>10</v>
      </c>
      <c r="C11" s="16">
        <v>0</v>
      </c>
      <c r="D11" s="67">
        <f>(1+MIN(Y$10,T$10-C11-1))</f>
        <v>6</v>
      </c>
      <c r="E11" s="63">
        <f t="shared" ref="E11:E13" si="4">MAX(($G$1/($F$1*D11))^(1/(ROUNDUP(D11/3,)-1)),1)</f>
        <v>1</v>
      </c>
      <c r="F11" s="90">
        <f>IF(F$2&lt;=CEILING(IF($N$10=$E$1,4,IF($N$10=$D$1,3,0)),1),CEILING(IF($N$10=$D$1,$F$1*(1-0)*IF($AD$10&gt;=$I$1,1,$I$1/$I$1)*((CEILING(56-1,1)+1)-16*(F$2-1)),IF($N$10=$E$1,0.46*(CEILING($D$12-1,1)+1)/(F$2+1),0)),0.01),0)</f>
        <v>28</v>
      </c>
      <c r="G11" s="90">
        <f>IF(G$2&lt;=CEILING(IF($N$10=$E$1,4,IF($N$10=$D$1,3,0)),1),CEILING(IF($N$10=$D$1,$F$1*(1-0)*IF($AD$10&gt;=$I$1,1,$I$1/$I$1)*((CEILING(56-1,1)+1)-16*(G$2-1)),IF($N$10=$E$1,0.46*(CEILING($D$12-1,1)+1)/(G$2+1),0)),0.01),0)</f>
        <v>20</v>
      </c>
      <c r="H11" s="90">
        <f>IF(H$2&lt;=CEILING(IF($N$10=$E$1,4,IF($N$10=$D$1,3,0)),1),CEILING(IF($N$10=$D$1,$F$1*(1-0)*IF($AD$10&gt;=$I$1,1,$I$1/$I$1)*((CEILING(60-1,1)+1)-16*(H$2-1)),IF($N$10=$E$1,0.46*(CEILING($D$12-1,1)+1)/(H$2+1),0)),0.01),0)</f>
        <v>14</v>
      </c>
      <c r="I11" s="90">
        <f t="shared" ref="I11:T11" si="5">IF(I$2&lt;=CEILING(IF($N$10=$E$1,4,IF($N$10=$D$1,3,0)),1),CEILING(IF($N$10=$D$1,$F$1*(1-0)*IF($AD$10&gt;=$I$1,1,$I$1/$I$1)*((CEILING(56-1,1)+1)-16*(I$2-1)),IF($N$10=$E$1,0.46*(CEILING($D$12-1,1)+1)/(I$2+1),0)),0.01),0)</f>
        <v>0</v>
      </c>
      <c r="J11" s="90">
        <f t="shared" si="5"/>
        <v>0</v>
      </c>
      <c r="K11" s="90">
        <f t="shared" si="5"/>
        <v>0</v>
      </c>
      <c r="L11" s="90">
        <f t="shared" si="5"/>
        <v>0</v>
      </c>
      <c r="M11" s="90">
        <f t="shared" si="5"/>
        <v>0</v>
      </c>
      <c r="N11" s="90">
        <f t="shared" si="5"/>
        <v>0</v>
      </c>
      <c r="O11" s="90">
        <f t="shared" si="5"/>
        <v>0</v>
      </c>
      <c r="P11" s="90">
        <f t="shared" si="5"/>
        <v>0</v>
      </c>
      <c r="Q11" s="90">
        <f t="shared" si="5"/>
        <v>0</v>
      </c>
      <c r="R11" s="90">
        <f t="shared" si="5"/>
        <v>0</v>
      </c>
      <c r="S11" s="90">
        <f t="shared" si="5"/>
        <v>0</v>
      </c>
      <c r="T11" s="90">
        <f t="shared" si="5"/>
        <v>0</v>
      </c>
      <c r="U11" s="152" t="str">
        <f>IF($N$10=$E$1,"Festival A-rækken af 3",IF($N$10=$D$1,"1. division og slutspil (ingen trøstfinale =&gt; 3. bonus til deling)","Udenfor pyramiden A-rækken af 3"))</f>
        <v>1. division og slutspil (ingen trøstfinale =&gt; 3. bonus til deling)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3"/>
      <c r="AI11" s="91">
        <f>CEILING($F$1*IF($AD$10&gt;=$I$1,1,$AD$10/$I$1)*$B11*$E11^(F$2-1),0.01)</f>
        <v>5</v>
      </c>
    </row>
    <row r="12" spans="1:35" x14ac:dyDescent="0.25">
      <c r="A12" s="70">
        <v>2</v>
      </c>
      <c r="B12" s="74">
        <f>IF($N$10=$E$1,1+0.3/$F$1,IF($N$10=$D$1,1+7,1+0/$F$1))</f>
        <v>8</v>
      </c>
      <c r="C12" s="16">
        <v>0</v>
      </c>
      <c r="D12" s="67">
        <f t="shared" ref="D12:D13" si="6">(1+MIN(Y$10,T$10-C12-1))</f>
        <v>6</v>
      </c>
      <c r="E12" s="63">
        <f t="shared" si="4"/>
        <v>1</v>
      </c>
      <c r="F12" s="90">
        <f t="shared" ref="F12:T12" si="7">IF(F$2&lt;=CEILING(IF($N$10=$E$1,4,IF($N$10=$D$1,2,0)),1),CEILING(IF($N$10=$D$1,$F$1*(1-0)*IF($AD$10&gt;=$I$1,1,$I$1/$I$1)*((CEILING(20-1,1)+1)-6*(F$2-1)),IF($N$10=$E$1,0.4*(CEILING($D$12-1,1)+1)/(F$2+1),0)),0.01),0)</f>
        <v>10</v>
      </c>
      <c r="G12" s="90">
        <f t="shared" si="7"/>
        <v>7</v>
      </c>
      <c r="H12" s="90">
        <f t="shared" si="7"/>
        <v>0</v>
      </c>
      <c r="I12" s="90">
        <f t="shared" si="7"/>
        <v>0</v>
      </c>
      <c r="J12" s="90">
        <f t="shared" si="7"/>
        <v>0</v>
      </c>
      <c r="K12" s="90">
        <f t="shared" si="7"/>
        <v>0</v>
      </c>
      <c r="L12" s="90">
        <f t="shared" si="7"/>
        <v>0</v>
      </c>
      <c r="M12" s="90">
        <f t="shared" si="7"/>
        <v>0</v>
      </c>
      <c r="N12" s="90">
        <f t="shared" si="7"/>
        <v>0</v>
      </c>
      <c r="O12" s="90">
        <f t="shared" si="7"/>
        <v>0</v>
      </c>
      <c r="P12" s="90">
        <f t="shared" si="7"/>
        <v>0</v>
      </c>
      <c r="Q12" s="90">
        <f t="shared" si="7"/>
        <v>0</v>
      </c>
      <c r="R12" s="90">
        <f t="shared" si="7"/>
        <v>0</v>
      </c>
      <c r="S12" s="90">
        <f t="shared" si="7"/>
        <v>0</v>
      </c>
      <c r="T12" s="90">
        <f t="shared" si="7"/>
        <v>0</v>
      </c>
      <c r="U12" s="152" t="str">
        <f>IF($N$10=$E$1,"Festival B-rækken af 3",IF($N$10=$D$1,"2. division","Udenfor pyramiden B-rækken af 3"))</f>
        <v>2. division</v>
      </c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3"/>
      <c r="AI12" s="91">
        <f>CEILING($F$1*IF($AD$10&gt;=$I$1,1,$AD$10/$I$1)*$B12*$E12^(F$2-1),0.01)</f>
        <v>4</v>
      </c>
    </row>
    <row r="13" spans="1:35" x14ac:dyDescent="0.25">
      <c r="A13" s="70">
        <v>3</v>
      </c>
      <c r="B13" s="74">
        <f>IF($N$10=$E$1,1+0.18/$F$1,IF($N$10=$D$1,1+4,1-0.1/$F$1))</f>
        <v>5</v>
      </c>
      <c r="C13" s="16">
        <v>0</v>
      </c>
      <c r="D13" s="67">
        <f t="shared" si="6"/>
        <v>6</v>
      </c>
      <c r="E13" s="63">
        <f t="shared" si="4"/>
        <v>1</v>
      </c>
      <c r="F13" s="90">
        <f t="shared" ref="F13:T13" si="8">IF(F$2&lt;=CEILING(IF($N$10=$E$1,4,IF($N$10=$D$1,2,0)),1),CEILING(IF($N$10=$D$1,$F$1*(1-0)*IF($AD$10&gt;=$I$1,1,$I$1/$I$1)*((CEILING(14-1,1)+1)-6*(F$2-1)),IF($N$10=$E$1,0.34*(CEILING($D$12-1,1)+1)/(F$2+1),0)),0.01),0)</f>
        <v>7</v>
      </c>
      <c r="G13" s="90">
        <f t="shared" si="8"/>
        <v>4</v>
      </c>
      <c r="H13" s="90">
        <f t="shared" si="8"/>
        <v>0</v>
      </c>
      <c r="I13" s="90">
        <f t="shared" si="8"/>
        <v>0</v>
      </c>
      <c r="J13" s="90">
        <f t="shared" si="8"/>
        <v>0</v>
      </c>
      <c r="K13" s="90">
        <f t="shared" si="8"/>
        <v>0</v>
      </c>
      <c r="L13" s="90">
        <f t="shared" si="8"/>
        <v>0</v>
      </c>
      <c r="M13" s="90">
        <f t="shared" si="8"/>
        <v>0</v>
      </c>
      <c r="N13" s="90">
        <f t="shared" si="8"/>
        <v>0</v>
      </c>
      <c r="O13" s="90">
        <f t="shared" si="8"/>
        <v>0</v>
      </c>
      <c r="P13" s="90">
        <f t="shared" si="8"/>
        <v>0</v>
      </c>
      <c r="Q13" s="90">
        <f t="shared" si="8"/>
        <v>0</v>
      </c>
      <c r="R13" s="90">
        <f t="shared" si="8"/>
        <v>0</v>
      </c>
      <c r="S13" s="90">
        <f t="shared" si="8"/>
        <v>0</v>
      </c>
      <c r="T13" s="90">
        <f t="shared" si="8"/>
        <v>0</v>
      </c>
      <c r="U13" s="152" t="str">
        <f>IF($N$10=$E$1,"Festival C-rækken af 3",IF($N$10=$D$1,"3. division og op-/nedrykningskampe","Udenfor pyramiden C-rækken af 3"))</f>
        <v>3. division og op-/nedrykningskampe</v>
      </c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3"/>
      <c r="AI13" s="91">
        <f>CEILING($F$1*IF($AD$10&gt;=$I$1,1,$AD$10/$I$1)*$B13*$E13^(F$2-1),0.01)</f>
        <v>2.5</v>
      </c>
    </row>
    <row r="14" spans="1:35" ht="15" customHeight="1" x14ac:dyDescent="0.25">
      <c r="A14" s="70"/>
      <c r="B14" s="74"/>
      <c r="C14" s="6"/>
      <c r="D14" s="68"/>
      <c r="E14" s="64"/>
      <c r="F14" s="146" t="s">
        <v>39</v>
      </c>
      <c r="G14" s="147"/>
      <c r="H14" s="147"/>
      <c r="I14" s="49"/>
      <c r="J14" s="50"/>
      <c r="K14" s="50"/>
      <c r="L14" s="50"/>
      <c r="M14" s="50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92"/>
    </row>
    <row r="15" spans="1:35" x14ac:dyDescent="0.25">
      <c r="A15" s="70"/>
      <c r="B15" s="74"/>
      <c r="C15" s="6"/>
      <c r="D15" s="68"/>
      <c r="E15" s="64"/>
      <c r="F15" s="117" t="s">
        <v>11</v>
      </c>
      <c r="G15" s="117"/>
      <c r="H15" s="117"/>
      <c r="I15" s="36">
        <v>4</v>
      </c>
      <c r="J15" s="113" t="s">
        <v>3</v>
      </c>
      <c r="K15" s="113"/>
      <c r="L15" s="113"/>
      <c r="M15" s="113"/>
      <c r="N15" s="159" t="s">
        <v>46</v>
      </c>
      <c r="O15" s="159"/>
      <c r="P15" s="115" t="s">
        <v>1</v>
      </c>
      <c r="Q15" s="115"/>
      <c r="R15" s="115"/>
      <c r="S15" s="115"/>
      <c r="T15" s="15">
        <v>6</v>
      </c>
      <c r="U15" s="116" t="s">
        <v>37</v>
      </c>
      <c r="V15" s="116"/>
      <c r="W15" s="116"/>
      <c r="X15" s="116"/>
      <c r="Y15" s="15">
        <v>5</v>
      </c>
      <c r="Z15" s="116" t="s">
        <v>38</v>
      </c>
      <c r="AA15" s="116"/>
      <c r="AB15" s="116"/>
      <c r="AC15" s="116"/>
      <c r="AD15" s="15">
        <v>40</v>
      </c>
      <c r="AE15" s="26"/>
      <c r="AF15" s="26"/>
      <c r="AG15" s="26"/>
      <c r="AH15" s="26"/>
      <c r="AI15" s="93"/>
    </row>
    <row r="16" spans="1:35" x14ac:dyDescent="0.25">
      <c r="A16" s="70">
        <v>1</v>
      </c>
      <c r="B16" s="74">
        <f>IF($N$15=$E$1,1+0.42/$F$1,IF($N$15=$D$1,1+3/2,1+0.2/$F$1))</f>
        <v>2.5</v>
      </c>
      <c r="C16" s="16">
        <v>0</v>
      </c>
      <c r="D16" s="67">
        <f>(1+MIN(Y$15,T$15-C16-1))</f>
        <v>6</v>
      </c>
      <c r="E16" s="63">
        <f t="shared" ref="E16:E19" si="9">MAX(($G$1/($F$1*D16))^(1/(ROUNDUP(D16/3,)-1)),1)</f>
        <v>1</v>
      </c>
      <c r="F16" s="90">
        <f t="shared" ref="F16:S16" si="10">IF(F$2&lt;=CEILING(IF($N$15=$E$1,4,IF($N$15=$D$1,3,0)),1),CEILING(IF($N$15=$D$1,$F$1*(1-0)*IF($AD$15&gt;=$I$1,1,$I$1/$I$1)*((CEILING(14-1,1)+1)-4*(F$2-1)),IF($N$15=$E$1,0.46*(CEILING($D$16-1,1)+1)/(F$2+1),0)),0.01),0)</f>
        <v>7</v>
      </c>
      <c r="G16" s="90">
        <f t="shared" si="10"/>
        <v>5</v>
      </c>
      <c r="H16" s="90">
        <f t="shared" si="10"/>
        <v>3</v>
      </c>
      <c r="I16" s="90">
        <f t="shared" si="10"/>
        <v>0</v>
      </c>
      <c r="J16" s="90">
        <f t="shared" si="10"/>
        <v>0</v>
      </c>
      <c r="K16" s="90">
        <f t="shared" si="10"/>
        <v>0</v>
      </c>
      <c r="L16" s="90">
        <f t="shared" si="10"/>
        <v>0</v>
      </c>
      <c r="M16" s="90">
        <f t="shared" si="10"/>
        <v>0</v>
      </c>
      <c r="N16" s="90">
        <f t="shared" si="10"/>
        <v>0</v>
      </c>
      <c r="O16" s="90">
        <f t="shared" si="10"/>
        <v>0</v>
      </c>
      <c r="P16" s="90">
        <f t="shared" si="10"/>
        <v>0</v>
      </c>
      <c r="Q16" s="90">
        <f t="shared" si="10"/>
        <v>0</v>
      </c>
      <c r="R16" s="90">
        <f t="shared" si="10"/>
        <v>0</v>
      </c>
      <c r="S16" s="90">
        <f t="shared" si="10"/>
        <v>0</v>
      </c>
      <c r="T16" s="90">
        <f>IF(T$2&lt;=CEILING(IF($N$15=$E$1,4,IF($N$15=$D$1,3,0)),1),CEILING(IF($N$15=$D$1,$F$1*(1-0)*IF($AD$15&gt;=$H$1,1,$I$1/$H$1)*((CEILING(14-1,1)+1)-4*(T$2-1)),IF($N$15=$E$1,0.46*(CEILING($D$16-1,1)+1)/(T$2+1),0)),0.01),0)</f>
        <v>0</v>
      </c>
      <c r="U16" s="152" t="str">
        <f>IF($N$15=$E$1,"Festival A-rækken af 4",IF($N$15=$D$1,"DM seniorhold A-finale","Udenfor pyramiden A-rækken af 4"))</f>
        <v>DM seniorhold A-finale</v>
      </c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3"/>
      <c r="AI16" s="91">
        <f>CEILING($F$1*IF($AD$15&gt;=$I$1,1,$AD$15/$I$1)*$B16*$E16^(F$2-1),0.01)</f>
        <v>1.25</v>
      </c>
    </row>
    <row r="17" spans="1:35" x14ac:dyDescent="0.25">
      <c r="A17" s="70">
        <v>2</v>
      </c>
      <c r="B17" s="74">
        <f>IF($N$15=$E$1,1+0.34/$F$1,IF($N$15=$D$1,1+1/2,1+0.1/$F$1))</f>
        <v>1.5</v>
      </c>
      <c r="C17" s="16">
        <v>0</v>
      </c>
      <c r="D17" s="67">
        <f t="shared" ref="D17:D18" si="11">(1+MIN(Y$15,T$15-C17-1))</f>
        <v>6</v>
      </c>
      <c r="E17" s="63">
        <f t="shared" si="9"/>
        <v>1</v>
      </c>
      <c r="F17" s="90">
        <f t="shared" ref="F17:S17" si="12">IF(F$2&lt;=CEILING(IF($N$15=$E$1,4,IF($N$15=$D$1,2,0)),1),CEILING(IF($N$15=$D$1,$F$1*(1-0)*IF($AD$15&gt;=$I$1,1,$I$1/$I$1)*((CEILING(6-1,1)+1)-(2*F$2)),IF($N$15=$E$1,0.42*(CEILING($D$16-1,1)+1)/(F$2+1),0)),0.01),0)</f>
        <v>2</v>
      </c>
      <c r="G17" s="90">
        <f t="shared" si="12"/>
        <v>1</v>
      </c>
      <c r="H17" s="90">
        <f t="shared" si="12"/>
        <v>0</v>
      </c>
      <c r="I17" s="90">
        <f t="shared" si="12"/>
        <v>0</v>
      </c>
      <c r="J17" s="90">
        <f t="shared" si="12"/>
        <v>0</v>
      </c>
      <c r="K17" s="90">
        <f t="shared" si="12"/>
        <v>0</v>
      </c>
      <c r="L17" s="90">
        <f t="shared" si="12"/>
        <v>0</v>
      </c>
      <c r="M17" s="90">
        <f t="shared" si="12"/>
        <v>0</v>
      </c>
      <c r="N17" s="90">
        <f t="shared" si="12"/>
        <v>0</v>
      </c>
      <c r="O17" s="90">
        <f t="shared" si="12"/>
        <v>0</v>
      </c>
      <c r="P17" s="90">
        <f t="shared" si="12"/>
        <v>0</v>
      </c>
      <c r="Q17" s="90">
        <f t="shared" si="12"/>
        <v>0</v>
      </c>
      <c r="R17" s="90">
        <f t="shared" si="12"/>
        <v>0</v>
      </c>
      <c r="S17" s="90">
        <f t="shared" si="12"/>
        <v>0</v>
      </c>
      <c r="T17" s="90">
        <f>IF(T$2&lt;=CEILING(IF($N$15=$E$1,4,IF($N$15=$D$1,2,0)),1),CEILING(IF($N$15=$D$1,$F$1*(1-0)*IF($AD$15&gt;=$H$1,1,$I$1/$H$1)*((CEILING(6-1,1)+1)-(2*T$2)),IF($N$15=$E$1,0.42*(CEILING($D$16-1,1)+1)/(T$2+1),0)),0.01),0)</f>
        <v>0</v>
      </c>
      <c r="U17" s="152" t="str">
        <f>IF($N$15=$E$1,"Festival B-rækken af 4",IF($N$15=$D$1,"DM seniorhold B-finale","Udenfor pyramiden B-rækken af 4"))</f>
        <v>DM seniorhold B-finale</v>
      </c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3"/>
      <c r="AI17" s="91">
        <f>CEILING($F$1*IF($AD$15&gt;=$I$1,1,$AD$15/$I$1)*$B17*$E17^(F$2-1),0.01)</f>
        <v>0.75</v>
      </c>
    </row>
    <row r="18" spans="1:35" x14ac:dyDescent="0.25">
      <c r="A18" s="70">
        <v>3</v>
      </c>
      <c r="B18" s="74">
        <f>IF($N$15=$E$1,1+0.26/$F$1,IF($N$15=$D$1,1+1/2,1+0/$F$1))</f>
        <v>1.5</v>
      </c>
      <c r="C18" s="16">
        <v>0</v>
      </c>
      <c r="D18" s="67">
        <f t="shared" si="11"/>
        <v>6</v>
      </c>
      <c r="E18" s="63">
        <f t="shared" si="9"/>
        <v>1</v>
      </c>
      <c r="F18" s="90">
        <f t="shared" ref="F18:S18" si="13">IF(F$2&lt;=CEILING(IF($N$15=$E$1,4,IF($N$15=$D$1,1,0)),1),CEILING(IF($N$15=$D$1,$F$1*(1-0)*IF($AD$15&gt;=$I$1,1,$I$1/$I$1)*((CEILING(2-1,1)+1)-2*(F$2-1)),IF($N$15=$E$1,0.38*(CEILING($D$16-1,1)+1)/(F$2+1),0)),0.01),0)</f>
        <v>1</v>
      </c>
      <c r="G18" s="90">
        <f t="shared" si="13"/>
        <v>0</v>
      </c>
      <c r="H18" s="90">
        <f t="shared" si="13"/>
        <v>0</v>
      </c>
      <c r="I18" s="90">
        <f t="shared" si="13"/>
        <v>0</v>
      </c>
      <c r="J18" s="90">
        <f t="shared" si="13"/>
        <v>0</v>
      </c>
      <c r="K18" s="90">
        <f t="shared" si="13"/>
        <v>0</v>
      </c>
      <c r="L18" s="90">
        <f t="shared" si="13"/>
        <v>0</v>
      </c>
      <c r="M18" s="90">
        <f t="shared" si="13"/>
        <v>0</v>
      </c>
      <c r="N18" s="90">
        <f t="shared" si="13"/>
        <v>0</v>
      </c>
      <c r="O18" s="90">
        <f t="shared" si="13"/>
        <v>0</v>
      </c>
      <c r="P18" s="90">
        <f t="shared" si="13"/>
        <v>0</v>
      </c>
      <c r="Q18" s="90">
        <f t="shared" si="13"/>
        <v>0</v>
      </c>
      <c r="R18" s="90">
        <f t="shared" si="13"/>
        <v>0</v>
      </c>
      <c r="S18" s="90">
        <f t="shared" si="13"/>
        <v>0</v>
      </c>
      <c r="T18" s="90">
        <f>IF(T$2&lt;=CEILING(IF($N$15=$E$1,4,IF($N$15=$D$1,1,0)),1),CEILING(IF($N$15=$D$1,$F$1*(1-0)*IF($AD$15&gt;=$H$1,1,$I$1/$H$1)*((CEILING(2-1,1)+1)-2*(T$2-1)),IF($N$15=$E$1,0.38*(CEILING($D$16-1,1)+1)/(T$2+1),0)),0.01),0)</f>
        <v>0</v>
      </c>
      <c r="U18" s="152" t="str">
        <f>IF($N$15=$E$1,"Festival C-rækken af 4",IF($N$15=$D$1,"DM seniorhold C-finale","Udenfor pyramiden C-rækken af 4"))</f>
        <v>DM seniorhold C-finale</v>
      </c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3"/>
      <c r="AI18" s="91">
        <f>CEILING($F$1*IF($AD$15&gt;=$I$1,1,$AD$15/$I$1)*$B18*$E18^(F$2-1),0.01)</f>
        <v>0.75</v>
      </c>
    </row>
    <row r="19" spans="1:35" x14ac:dyDescent="0.25">
      <c r="A19" s="70">
        <v>4</v>
      </c>
      <c r="B19" s="74">
        <f>IF($N$15=$E$1,1+0.18/$F$1,IF($N$15=$D$1,1+1/2,1-0.1/$F$1))</f>
        <v>1.5</v>
      </c>
      <c r="C19" s="16">
        <v>0</v>
      </c>
      <c r="D19" s="67">
        <f>(1+MIN(Y$15,T$15-C19-1))</f>
        <v>6</v>
      </c>
      <c r="E19" s="63">
        <f t="shared" si="9"/>
        <v>1</v>
      </c>
      <c r="F19" s="90">
        <f t="shared" ref="F19:S19" si="14">IF(F$2&lt;=CEILING(IF($N$15=$E$1,4,IF($N$15=$D$1,0,0)),1),CEILING(IF($N$15=$D$1,$F$1*(1-0)*IF($AD$15&gt;=$I$1,1,$I$1/$I$1)*((CEILING(0-1,1)+1)-2*(F$2-1)),IF($N$15=$E$1,0.34*(CEILING($D$16-1,1)+1)/(F$2+1),0)),0.01),0)</f>
        <v>0</v>
      </c>
      <c r="G19" s="90">
        <f t="shared" si="14"/>
        <v>0</v>
      </c>
      <c r="H19" s="90">
        <f t="shared" si="14"/>
        <v>0</v>
      </c>
      <c r="I19" s="90">
        <f t="shared" si="14"/>
        <v>0</v>
      </c>
      <c r="J19" s="90">
        <f t="shared" si="14"/>
        <v>0</v>
      </c>
      <c r="K19" s="90">
        <f t="shared" si="14"/>
        <v>0</v>
      </c>
      <c r="L19" s="90">
        <f t="shared" si="14"/>
        <v>0</v>
      </c>
      <c r="M19" s="90">
        <f t="shared" si="14"/>
        <v>0</v>
      </c>
      <c r="N19" s="90">
        <f t="shared" si="14"/>
        <v>0</v>
      </c>
      <c r="O19" s="90">
        <f t="shared" si="14"/>
        <v>0</v>
      </c>
      <c r="P19" s="90">
        <f t="shared" si="14"/>
        <v>0</v>
      </c>
      <c r="Q19" s="90">
        <f t="shared" si="14"/>
        <v>0</v>
      </c>
      <c r="R19" s="90">
        <f t="shared" si="14"/>
        <v>0</v>
      </c>
      <c r="S19" s="90">
        <f t="shared" si="14"/>
        <v>0</v>
      </c>
      <c r="T19" s="90">
        <f>IF(T$2&lt;=CEILING(IF($N$15=$E$1,4,IF($N$15=$D$1,0,0)),1),CEILING(IF($N$15=$D$1,$F$1*(1-0)*IF($AD$15&gt;=$H$1,1,$I$1/$H$1)*((CEILING(0-1,1)+1)-2*(T$2-1)),IF($N$15=$E$1,0.34*(CEILING($D$16-1,1)+1)/(T$2+1),0)),0.01),0)</f>
        <v>0</v>
      </c>
      <c r="U19" s="152" t="str">
        <f>IF($N$15=$E$1,"Festival D-rækken af 4",IF($N$15=$D$1,"DM seniorhold D-finale og semifinaler","Udenfor pyramiden D-rækken af 4"))</f>
        <v>DM seniorhold D-finale og semifinaler</v>
      </c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3"/>
      <c r="AI19" s="91">
        <f>CEILING($F$1*IF($AD$15&gt;=$I$1,1,$AD$15/$I$1)*$B19*$E19^(F$2-1),0.01)</f>
        <v>0.75</v>
      </c>
    </row>
    <row r="20" spans="1:35" ht="15" customHeight="1" thickBot="1" x14ac:dyDescent="0.3">
      <c r="A20" s="70"/>
      <c r="B20" s="74"/>
      <c r="C20" s="6"/>
      <c r="D20" s="68"/>
      <c r="E20" s="64"/>
      <c r="F20" s="146" t="s">
        <v>39</v>
      </c>
      <c r="G20" s="147"/>
      <c r="H20" s="147"/>
      <c r="I20" s="49"/>
      <c r="J20" s="50"/>
      <c r="K20" s="50"/>
      <c r="L20" s="50"/>
      <c r="M20" s="50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92"/>
    </row>
    <row r="21" spans="1:35" ht="15.75" thickBot="1" x14ac:dyDescent="0.3">
      <c r="A21" s="70"/>
      <c r="B21" s="74"/>
      <c r="C21" s="6"/>
      <c r="D21" s="68"/>
      <c r="E21" s="64"/>
      <c r="F21" s="117" t="s">
        <v>11</v>
      </c>
      <c r="G21" s="117"/>
      <c r="H21" s="117"/>
      <c r="I21" s="78">
        <v>5</v>
      </c>
      <c r="J21" s="113" t="s">
        <v>3</v>
      </c>
      <c r="K21" s="113"/>
      <c r="L21" s="113"/>
      <c r="M21" s="113"/>
      <c r="N21" s="159" t="s">
        <v>46</v>
      </c>
      <c r="O21" s="159"/>
      <c r="P21" s="115" t="s">
        <v>1</v>
      </c>
      <c r="Q21" s="115"/>
      <c r="R21" s="115"/>
      <c r="S21" s="115"/>
      <c r="T21" s="15">
        <v>6</v>
      </c>
      <c r="U21" s="116" t="s">
        <v>37</v>
      </c>
      <c r="V21" s="116"/>
      <c r="W21" s="116"/>
      <c r="X21" s="116"/>
      <c r="Y21" s="15">
        <v>5</v>
      </c>
      <c r="Z21" s="116" t="s">
        <v>38</v>
      </c>
      <c r="AA21" s="116"/>
      <c r="AB21" s="116"/>
      <c r="AC21" s="116"/>
      <c r="AD21" s="15">
        <v>40</v>
      </c>
      <c r="AE21" s="26"/>
      <c r="AF21" s="26"/>
      <c r="AG21" s="26"/>
      <c r="AH21" s="26"/>
      <c r="AI21" s="93"/>
    </row>
    <row r="22" spans="1:35" x14ac:dyDescent="0.25">
      <c r="A22" s="70">
        <v>1</v>
      </c>
      <c r="B22" s="87">
        <f>IF($N$21=$E$1,1+0.46/$F$1,IF($N$21=$D$1,1+4,1+0.2/$F$1))</f>
        <v>5</v>
      </c>
      <c r="C22" s="16">
        <v>0</v>
      </c>
      <c r="D22" s="67">
        <f>(1+MIN(Y$21,T$21-C22-1))</f>
        <v>6</v>
      </c>
      <c r="E22" s="63">
        <f t="shared" ref="E22:E25" si="15">MAX(($G$1/($F$1*D22))^(1/(ROUNDUP(D22/3,)-1)),1)</f>
        <v>1</v>
      </c>
      <c r="F22" s="90">
        <f>IF(F$2&lt;=CEILING(IF($N$21=$E$1,4,IF($N$21=$D$1,7,0)),1),CEILING(IF($N$21=$D$1,$F$1*(1-0)*IF($AD$21&gt;=$I$1,1,$I$1/$I$1)*((CEILING(20-1,1)+1)-4*(F$2-1)),IF($N$21=$E$1,0.48*(CEILING($D$22-1,1)+1)/(F$2+1),0)),0.01),0)</f>
        <v>10</v>
      </c>
      <c r="G22" s="90">
        <f>IF(G$2&lt;=CEILING(IF($N$21=$E$1,4,IF($N$21=$D$1,7,0)),1),CEILING(IF($N$21=$D$1,$F$1*(1-0)*IF($AD$21&gt;=$I$1,1,$I$1/$I$1)*((CEILING(20-1,1)+1)-4*(G$2-1)),IF($N$21=$E$1,0.48*(CEILING($D$22-1,1)+1)/(G$2+1),0)),0.01),0)</f>
        <v>8</v>
      </c>
      <c r="H22" s="90">
        <f>IF(H$2&lt;=CEILING(IF($N$21=$E$1,4,IF($N$21=$D$1,7,0)),1),CEILING(IF($N$21=$D$1,$F$1*(1-0)*IF($AD$21&gt;=$I$1,1,$I$1/$I$1)*((CEILING(20-1,1)+1)-4*(H$2-1)),IF($N$21=$E$1,0.48*(CEILING($D$22-1,1)+1)/(H$2+1),0)),0.01),0)</f>
        <v>6</v>
      </c>
      <c r="I22" s="90">
        <f>IF(I$2&lt;=CEILING(IF($N$21=$E$1,4,IF($N$21=$D$1,7,0)),1),CEILING(IF($N$21=$D$1,$F$1*(1-0)*IF($AD$21&gt;=$I$1,1,$I$1/$I$1)*((CEILING(20-1,1)+1)-4*(I$2-1)),IF($N$21=$E$1,0.48*(CEILING($D$22-1,1)+1)/(I$2+1),0)),0.01),0)</f>
        <v>4</v>
      </c>
      <c r="J22" s="90">
        <f t="shared" ref="J22:S22" si="16">IF(J$2&lt;=CEILING(IF($N$21=$E$1,4,IF($N$21=$D$1,7,0)),1),CEILING(IF($N$21=$D$1,$F$1*(1-0)*IF($AD$21&gt;=$I$1,1,$I$1/$I$1)*((CEILING(20-1,1)+1)-2*(J$2+2)),IF($N$21=$E$1,0.48*(CEILING($D$22-1,1)+1)/(J$2+1),0)),0.01),0)</f>
        <v>3</v>
      </c>
      <c r="K22" s="90">
        <f t="shared" si="16"/>
        <v>2</v>
      </c>
      <c r="L22" s="90">
        <f t="shared" si="16"/>
        <v>1</v>
      </c>
      <c r="M22" s="90">
        <f t="shared" si="16"/>
        <v>0</v>
      </c>
      <c r="N22" s="90">
        <f t="shared" si="16"/>
        <v>0</v>
      </c>
      <c r="O22" s="90">
        <f t="shared" si="16"/>
        <v>0</v>
      </c>
      <c r="P22" s="90">
        <f t="shared" si="16"/>
        <v>0</v>
      </c>
      <c r="Q22" s="90">
        <f t="shared" si="16"/>
        <v>0</v>
      </c>
      <c r="R22" s="90">
        <f t="shared" si="16"/>
        <v>0</v>
      </c>
      <c r="S22" s="90">
        <f t="shared" si="16"/>
        <v>0</v>
      </c>
      <c r="T22" s="90">
        <f>IF(T$2&lt;=CEILING(IF($N$21=$E$1,4,IF($N$21=$D$1,7,0)),1),CEILING(IF($N$21=$D$1,$F$1*(1-0)*IF($AD$21&gt;=$H$1,1,$I$1/$H$1)*((CEILING(20-1,1)+1)-2*(T$2+2)),IF($N$21=$E$1,0.48*(CEILING($D$22-1,1)+1)/(T$2+1),0)),0.01),0)</f>
        <v>0</v>
      </c>
      <c r="U22" s="152" t="str">
        <f>IF($N$21=$E$1,"Festival A-rækken af 5 eller flere",IF($N$21=$D$1,"DM for mixedhold (4 efter slutspillet og 3 bedste blandt øvrige)","Udenfor pyramiden A-rækken af 4 eller flere"))</f>
        <v>DM for mixedhold (4 efter slutspillet og 3 bedste blandt øvrige)</v>
      </c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3"/>
      <c r="AI22" s="91">
        <f>CEILING($F$1*IF($AD$21&gt;=$I$1,1,$AD$21/$I$1)*$B22*$E22^(F$2-1),0.01)</f>
        <v>2.5</v>
      </c>
    </row>
    <row r="23" spans="1:35" x14ac:dyDescent="0.25">
      <c r="A23" s="70">
        <v>2</v>
      </c>
      <c r="B23" s="87">
        <f>IF($N$21=$E$1,1+0.38/$F$1,IF($N$21=$D$1,1-1,1+0.1/$F$1))</f>
        <v>0</v>
      </c>
      <c r="C23" s="16">
        <v>0</v>
      </c>
      <c r="D23" s="67">
        <f>(1+MIN(Y$21,T$21-C23-1))</f>
        <v>6</v>
      </c>
      <c r="E23" s="63">
        <f t="shared" si="15"/>
        <v>1</v>
      </c>
      <c r="F23" s="90">
        <f t="shared" ref="F23:S23" si="17">IF(F$2&lt;=CEILING(IF($N$21=$E$1,4,IF($N$21=$D$1,0,0)),1),CEILING(IF($N$21=$D$1,$F$1*(1-0)*IF($AD$21&gt;=$I$1,1,$I$1/$I$1)*((CEILING(0-1,1)+1)-2*(F$2-1)),IF($N$21=$E$1,0.44*(CEILING($D$23-1,1)+1)/(F$2+1),0)),0.01),0)</f>
        <v>0</v>
      </c>
      <c r="G23" s="90">
        <f t="shared" si="17"/>
        <v>0</v>
      </c>
      <c r="H23" s="90">
        <f t="shared" si="17"/>
        <v>0</v>
      </c>
      <c r="I23" s="90">
        <f t="shared" si="17"/>
        <v>0</v>
      </c>
      <c r="J23" s="90">
        <f t="shared" si="17"/>
        <v>0</v>
      </c>
      <c r="K23" s="90">
        <f t="shared" si="17"/>
        <v>0</v>
      </c>
      <c r="L23" s="90">
        <f t="shared" si="17"/>
        <v>0</v>
      </c>
      <c r="M23" s="90">
        <f t="shared" si="17"/>
        <v>0</v>
      </c>
      <c r="N23" s="90">
        <f t="shared" si="17"/>
        <v>0</v>
      </c>
      <c r="O23" s="90">
        <f t="shared" si="17"/>
        <v>0</v>
      </c>
      <c r="P23" s="90">
        <f t="shared" si="17"/>
        <v>0</v>
      </c>
      <c r="Q23" s="90">
        <f t="shared" si="17"/>
        <v>0</v>
      </c>
      <c r="R23" s="90">
        <f t="shared" si="17"/>
        <v>0</v>
      </c>
      <c r="S23" s="90">
        <f t="shared" si="17"/>
        <v>0</v>
      </c>
      <c r="T23" s="90">
        <f>IF(T$2&lt;=CEILING(IF($N$21=$E$1,4,IF($N$21=$D$1,0,0)),1),CEILING(IF($N$21=$D$1,$F$1*(1-0)*IF($AD$21&gt;=$H$1,1,$I$1/$H$1)*((CEILING(0-1,1)+1)-2*(T$2-1)),IF($N$21=$E$1,0.44*(CEILING($D$23-1,1)+1)/(T$2+1),0)),0.01),0)</f>
        <v>0</v>
      </c>
      <c r="U23" s="152">
        <f>IF($N$21=$E$1,"Festival B-rækken af 5 eller flere",IF($N$21=$D$1,0,"Udenfor pyramiden B-rækken af 4 eller flere"))</f>
        <v>0</v>
      </c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3"/>
      <c r="AI23" s="91">
        <f>CEILING($F$1*IF($AD$21&gt;=$I$1,1,$AD$21/$I$1)*$B23*$E23^(F$2-1),0.01)</f>
        <v>0</v>
      </c>
    </row>
    <row r="24" spans="1:35" x14ac:dyDescent="0.25">
      <c r="A24" s="70">
        <v>3</v>
      </c>
      <c r="B24" s="87">
        <f>IF($N$21=$E$1,1+0.3/$F$1,IF($N$21=$D$1,1+4,1+0/$F$1))</f>
        <v>5</v>
      </c>
      <c r="C24" s="16">
        <v>0</v>
      </c>
      <c r="D24" s="67">
        <f>(1+MIN(Y$21,T$21-C24-1))</f>
        <v>6</v>
      </c>
      <c r="E24" s="63">
        <f t="shared" si="15"/>
        <v>1</v>
      </c>
      <c r="F24" s="90">
        <f>IF(F$2&lt;=CEILING(IF($N$21=$E$1,4,IF($N$21=$D$1,8,0)),1),CEILING(IF($N$21=$D$1,$F$1*(1-0)*IF($AD$21&gt;=$I$1,1,$I$1/$I$1)*((CEILING(20-1,1)+1)-6*(F$2-1)),IF($N$21=$E$1,0.4*(CEILING($D$24-1,1)+1)/(F$2+1),0)),0.01),0)</f>
        <v>10</v>
      </c>
      <c r="G24" s="90">
        <f t="shared" ref="G24" si="18">IF(G$2&lt;=CEILING(IF($N$21=$E$1,4,IF($N$21=$D$1,8,0)),1),CEILING(IF($N$21=$D$1,$F$1*(1-0)*IF($AD$21&gt;=$I$1,1,$I$1/$I$1)*((CEILING(20-1,1)+1)-6*(G$2-1)),IF($N$21=$E$1,0.4*(CEILING($D$24-1,1)+1)/(G$2+1),0)),0.01),0)</f>
        <v>7</v>
      </c>
      <c r="H24" s="90">
        <f>IF(H$2&lt;=CEILING(IF($N$21=$E$1,4,IF($N$21=$D$1,8,0)),1),CEILING(IF($N$21=$D$1,$F$1*(1-0)*IF($AD$21&gt;=$I$1,1,$I$1/$I$1)*((CEILING(18-1,1)+1)-4*(H$2-1)),IF($N$21=$E$1,0.4*(CEILING($D$24-1,1)+1)/(H$2+1),0)),0.01),0)</f>
        <v>5</v>
      </c>
      <c r="I24" s="90">
        <f t="shared" ref="I24:N24" si="19">IF(I$2&lt;=CEILING(IF($N$21=$E$1,4,IF($N$21=$D$1,8,0)),1),CEILING(IF($N$21=$D$1,$F$1*(1-0)*IF($AD$21&gt;=$I$1,1,$I$1/$I$1)*((CEILING(18-1,1)+1)-4*(I$2-1)),IF($N$21=$E$1,0.4*(CEILING($D$24-1,1)+1)/(I$2+1),0)),0.01),0)</f>
        <v>3</v>
      </c>
      <c r="J24" s="90">
        <f t="shared" si="19"/>
        <v>1</v>
      </c>
      <c r="K24" s="90">
        <f>IF(K$2&lt;=CEILING(IF($N$21=$E$1,4,IF($N$21=$D$1,8,0)),1),CEILING(IF($N$21=$D$1,$F$1*(1-0)*IF($AD$21&gt;=$I$1,1,$I$1/$I$1)*((CEILING(22-1,1)+1)-4*(K$2-1)),IF($N$21=$E$1,0.4*(CEILING($D$24-1,1)+1)/(K$2+1),0)),0.01),0)</f>
        <v>1</v>
      </c>
      <c r="L24" s="90">
        <f>IF(L$2&lt;=CEILING(IF($N$21=$E$1,4,IF($N$21=$D$1,8,0)),1),CEILING(IF($N$21=$D$1,$F$1*(1-0)*IF($AD$21&gt;=$I$1,1,$I$1/$I$1)*((CEILING(26-1,1)+1)-4*(L$2-1)),IF($N$21=$E$1,0.4*(CEILING($D$24-1,1)+1)/(L$2+1),0)),0.01),0)</f>
        <v>1</v>
      </c>
      <c r="M24" s="90">
        <f>IF(M$2&lt;=CEILING(IF($N$21=$E$1,4,IF($N$21=$D$1,8,0)),1),CEILING(IF($N$21=$D$1,$F$1*(1-0)*IF($AD$21&gt;=$I$1,1,$I$1/$I$1)*((CEILING(30-1,1)+1)-4*(M$2-1)),IF($N$21=$E$1,0.4*(CEILING($D$24-1,1)+1)/(M$2+1),0)),0.01),0)</f>
        <v>1</v>
      </c>
      <c r="N24" s="90">
        <f t="shared" si="19"/>
        <v>0</v>
      </c>
      <c r="O24" s="90">
        <f>IF(O$2&lt;=CEILING(IF($N$21=$E$1,4,IF($N$21=$D$1,0,0)),1),CEILING(IF($N$21=$D$1,$F$1*(1-0)*IF($AD$21&gt;=$I$1,1,$I$1/$I$1)*((CEILING(0-1,1)+1)-2*(O$2-1)),IF($N$21=$E$1,0.4*(CEILING($D$24-1,1)+1)/(O$2+1),0)),0.01),0)</f>
        <v>0</v>
      </c>
      <c r="P24" s="90">
        <f>IF(P$2&lt;=CEILING(IF($N$21=$E$1,4,IF($N$21=$D$1,0,0)),1),CEILING(IF($N$21=$D$1,$F$1*(1-0)*IF($AD$21&gt;=$I$1,1,$I$1/$I$1)*((CEILING(0-1,1)+1)-2*(P$2-1)),IF($N$21=$E$1,0.4*(CEILING($D$24-1,1)+1)/(P$2+1),0)),0.01),0)</f>
        <v>0</v>
      </c>
      <c r="Q24" s="90">
        <f>IF(Q$2&lt;=CEILING(IF($N$21=$E$1,4,IF($N$21=$D$1,0,0)),1),CEILING(IF($N$21=$D$1,$F$1*(1-0)*IF($AD$21&gt;=$I$1,1,$I$1/$I$1)*((CEILING(0-1,1)+1)-2*(Q$2-1)),IF($N$21=$E$1,0.4*(CEILING($D$24-1,1)+1)/(Q$2+1),0)),0.01),0)</f>
        <v>0</v>
      </c>
      <c r="R24" s="90">
        <f>IF(R$2&lt;=CEILING(IF($N$21=$E$1,4,IF($N$21=$D$1,0,0)),1),CEILING(IF($N$21=$D$1,$F$1*(1-0)*IF($AD$21&gt;=$I$1,1,$I$1/$I$1)*((CEILING(0-1,1)+1)-2*(R$2-1)),IF($N$21=$E$1,0.4*(CEILING($D$24-1,1)+1)/(R$2+1),0)),0.01),0)</f>
        <v>0</v>
      </c>
      <c r="S24" s="90">
        <f>IF(S$2&lt;=CEILING(IF($N$21=$E$1,4,IF($N$21=$D$1,0,0)),1),CEILING(IF($N$21=$D$1,$F$1*(1-0)*IF($AD$21&gt;=$I$1,1,$I$1/$I$1)*((CEILING(0-1,1)+1)-2*(S$2-1)),IF($N$21=$E$1,0.4*(CEILING($D$24-1,1)+1)/(S$2+1),0)),0.01),0)</f>
        <v>0</v>
      </c>
      <c r="T24" s="90">
        <f>IF(T$2&lt;=CEILING(IF($N$21=$E$1,4,IF($N$21=$D$1,0,0)),1),CEILING(IF($N$21=$D$1,$F$1*(1-0)*IF($AD$21&gt;=$H$1,1,$I$1/$H$1)*((CEILING(0-1,1)+1)-2*(T$2-1)),IF($N$21=$E$1,0.4*(CEILING($D$24-1,1)+1)/(T$2+1),0)),0.01),0)</f>
        <v>0</v>
      </c>
      <c r="U24" s="152" t="str">
        <f>IF($N$21=$E$1,"Festival midterrækker af 5 eller flere",IF($N$21=$D$1,"Online DM for hold - åben række","Udenfor pyramiden C-rækken af 4 eller flere"))</f>
        <v>Online DM for hold - åben række</v>
      </c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3"/>
      <c r="AI24" s="91">
        <f>CEILING($F$1*IF($AD$21&gt;=$I$1,1,$AD$21/$I$1)*$B24*$E24^(F$2-1),0.01)</f>
        <v>2.5</v>
      </c>
    </row>
    <row r="25" spans="1:35" x14ac:dyDescent="0.25">
      <c r="A25" s="70">
        <v>4</v>
      </c>
      <c r="B25" s="87">
        <f>IF($N$21=$E$1,1+0.22/$F$1,IF($N$21=$D$1,1-1,1-0.1/$F$1))</f>
        <v>0</v>
      </c>
      <c r="C25" s="16">
        <v>0</v>
      </c>
      <c r="D25" s="67">
        <f t="shared" ref="D25:D26" si="20">(1+MIN(Y$21,T$21-C25-1))</f>
        <v>6</v>
      </c>
      <c r="E25" s="63">
        <f t="shared" si="15"/>
        <v>1</v>
      </c>
      <c r="F25" s="90">
        <f t="shared" ref="F25:S25" si="21">IF(F$2&lt;=CEILING(IF($N$21=$E$1,4,IF($N$21=$D$1,0,0)),1),CEILING(IF($N$21=$D$1,$F$1*(1-0)*IF($AD$21&gt;=$I$1,1,$I$1/$I$1)*((CEILING(0-1,1)+1)-2*(F$2-1)),IF($N$21=$E$1,0.36*(CEILING($D$25-1,1)+1)/(F$2+1),0)),0.01),0)</f>
        <v>0</v>
      </c>
      <c r="G25" s="90">
        <f t="shared" si="21"/>
        <v>0</v>
      </c>
      <c r="H25" s="90">
        <f t="shared" si="21"/>
        <v>0</v>
      </c>
      <c r="I25" s="90">
        <f t="shared" si="21"/>
        <v>0</v>
      </c>
      <c r="J25" s="90">
        <f t="shared" si="21"/>
        <v>0</v>
      </c>
      <c r="K25" s="90">
        <f t="shared" si="21"/>
        <v>0</v>
      </c>
      <c r="L25" s="90">
        <f t="shared" si="21"/>
        <v>0</v>
      </c>
      <c r="M25" s="90">
        <f t="shared" si="21"/>
        <v>0</v>
      </c>
      <c r="N25" s="90">
        <f t="shared" si="21"/>
        <v>0</v>
      </c>
      <c r="O25" s="90">
        <f t="shared" si="21"/>
        <v>0</v>
      </c>
      <c r="P25" s="90">
        <f t="shared" si="21"/>
        <v>0</v>
      </c>
      <c r="Q25" s="90">
        <f t="shared" si="21"/>
        <v>0</v>
      </c>
      <c r="R25" s="90">
        <f t="shared" si="21"/>
        <v>0</v>
      </c>
      <c r="S25" s="90">
        <f t="shared" si="21"/>
        <v>0</v>
      </c>
      <c r="T25" s="90">
        <f>IF(T$2&lt;=CEILING(IF($N$21=$E$1,4,IF($N$21=$D$1,0,0)),1),CEILING(IF($N$21=$D$1,$F$1*(1-0)*IF($AD$21&gt;=$H$1,1,$I$1/$H$1)*((CEILING(0-1,1)+1)-2*(T$2-1)),IF($N$21=$E$1,0.36*(CEILING($D$25-1,1)+1)/(T$2+1),0)),0.01),0)</f>
        <v>0</v>
      </c>
      <c r="U25" s="152">
        <f>IF($N$21=$E$1,"Festival næstlaveste række af 5 eller flere",IF($N$21=$D$1,0,"Udenfor pyramiden D-rækken af 4 eller flere"))</f>
        <v>0</v>
      </c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3"/>
      <c r="AI25" s="91">
        <f>CEILING($F$1*IF($AD$21&gt;=$I$1,1,$AD$21/$I$1)*$B25*$E25^(F$2-1),0.01)</f>
        <v>0</v>
      </c>
    </row>
    <row r="26" spans="1:35" x14ac:dyDescent="0.25">
      <c r="A26" s="59">
        <v>5</v>
      </c>
      <c r="B26" s="88">
        <f>IF($N$21=$E$1,1+0.14/$F$1,IF($N$21=$D$1,1-1,1-0.2/$F$1))</f>
        <v>0</v>
      </c>
      <c r="C26" s="17">
        <v>0</v>
      </c>
      <c r="D26" s="69">
        <f t="shared" si="20"/>
        <v>6</v>
      </c>
      <c r="E26" s="65">
        <f>MAX(($G$1/($F$1*D26))^(1/(ROUNDUP(D26/3,)-1)),1)</f>
        <v>1</v>
      </c>
      <c r="F26" s="90">
        <f t="shared" ref="F26:S26" si="22">IF(F$2&lt;=CEILING(IF($N$21=$E$1,4,IF($N$21=$D$1,,0)),1),CEILING(IF($N$21=$D$1,$F$1*(1-0)*IF($AD$21&gt;=$I$1,1,$I$1/$I$1)*((CEILING(0-1,1)+1)-2*(F$2-1)),IF($N$21=$E$1,0.32*(CEILING($D$26-1,1)+1)/(F$2+1),0)),0.01),0)</f>
        <v>0</v>
      </c>
      <c r="G26" s="90">
        <f t="shared" si="22"/>
        <v>0</v>
      </c>
      <c r="H26" s="90">
        <f t="shared" si="22"/>
        <v>0</v>
      </c>
      <c r="I26" s="90">
        <f t="shared" si="22"/>
        <v>0</v>
      </c>
      <c r="J26" s="90">
        <f t="shared" si="22"/>
        <v>0</v>
      </c>
      <c r="K26" s="90">
        <f t="shared" si="22"/>
        <v>0</v>
      </c>
      <c r="L26" s="90">
        <f t="shared" si="22"/>
        <v>0</v>
      </c>
      <c r="M26" s="90">
        <f t="shared" si="22"/>
        <v>0</v>
      </c>
      <c r="N26" s="90">
        <f t="shared" si="22"/>
        <v>0</v>
      </c>
      <c r="O26" s="90">
        <f t="shared" si="22"/>
        <v>0</v>
      </c>
      <c r="P26" s="90">
        <f t="shared" si="22"/>
        <v>0</v>
      </c>
      <c r="Q26" s="90">
        <f t="shared" si="22"/>
        <v>0</v>
      </c>
      <c r="R26" s="90">
        <f t="shared" si="22"/>
        <v>0</v>
      </c>
      <c r="S26" s="90">
        <f t="shared" si="22"/>
        <v>0</v>
      </c>
      <c r="T26" s="90">
        <f>IF(T$2&lt;=CEILING(IF($N$21=$E$1,4,IF($N$21=$D$1,,0)),1),CEILING(IF($N$21=$D$1,$F$1*(1-0)*IF($AD$21&gt;=$H$1,1,$I$1/$H$1)*((CEILING(0-1,1)+1)-2*(T$2-1)),IF($N$21=$E$1,0.32*(CEILING($D$26-1,1)+1)/(T$2+1),0)),0.01),0)</f>
        <v>0</v>
      </c>
      <c r="U26" s="152">
        <f>IF($N$21=$E$1,"Festival laveste række af 5 eller flere",IF($N$21=$D$1,0,"Udenfor pyramiden rækkerne lavere end 4 af flere end 4"))</f>
        <v>0</v>
      </c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3"/>
      <c r="AI26" s="91">
        <f>CEILING($F$1*IF($AD$21&gt;=$I$1,1,$AD$21/$I$1)*$B26*$E26^(F$2-1),0.01)</f>
        <v>0</v>
      </c>
    </row>
    <row r="27" spans="1:35" ht="15" customHeight="1" x14ac:dyDescent="0.25">
      <c r="A27" s="12"/>
      <c r="B27" s="9"/>
      <c r="C27" s="9"/>
      <c r="D27" s="9"/>
      <c r="E27" s="9"/>
      <c r="F27" s="143" t="s">
        <v>40</v>
      </c>
      <c r="G27" s="144"/>
      <c r="H27" s="144"/>
      <c r="I27" s="9"/>
      <c r="J27" s="10"/>
      <c r="K27" s="10"/>
      <c r="L27" s="10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44" t="s">
        <v>41</v>
      </c>
      <c r="AI27" s="145"/>
    </row>
    <row r="28" spans="1:35" x14ac:dyDescent="0.25">
      <c r="A28" s="72" t="s">
        <v>14</v>
      </c>
    </row>
    <row r="29" spans="1:35" x14ac:dyDescent="0.25">
      <c r="C29" s="119" t="s">
        <v>42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</row>
    <row r="30" spans="1:35" x14ac:dyDescent="0.25">
      <c r="C30" s="154" t="s">
        <v>49</v>
      </c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5" x14ac:dyDescent="0.25">
      <c r="C31" s="104" t="s">
        <v>44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</row>
    <row r="32" spans="1:35" x14ac:dyDescent="0.25">
      <c r="C32" s="154" t="s">
        <v>54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7:35" x14ac:dyDescent="0.25"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</row>
  </sheetData>
  <sheetProtection password="C4EE" sheet="1" objects="1" scenarios="1"/>
  <mergeCells count="60">
    <mergeCell ref="N1:W1"/>
    <mergeCell ref="A2:B2"/>
    <mergeCell ref="C2:D2"/>
    <mergeCell ref="AH2:AI2"/>
    <mergeCell ref="A3:B3"/>
    <mergeCell ref="F3:H3"/>
    <mergeCell ref="J3:M3"/>
    <mergeCell ref="N3:O3"/>
    <mergeCell ref="P3:S3"/>
    <mergeCell ref="U3:X3"/>
    <mergeCell ref="Z3:AC3"/>
    <mergeCell ref="U4:AH4"/>
    <mergeCell ref="F5:H5"/>
    <mergeCell ref="F6:H6"/>
    <mergeCell ref="J6:M6"/>
    <mergeCell ref="N6:O6"/>
    <mergeCell ref="P6:S6"/>
    <mergeCell ref="U6:X6"/>
    <mergeCell ref="Z6:AC6"/>
    <mergeCell ref="U7:AH7"/>
    <mergeCell ref="U8:AH8"/>
    <mergeCell ref="F9:H9"/>
    <mergeCell ref="F10:H10"/>
    <mergeCell ref="J10:M10"/>
    <mergeCell ref="N10:O10"/>
    <mergeCell ref="P10:S10"/>
    <mergeCell ref="U10:X10"/>
    <mergeCell ref="Z10:AC10"/>
    <mergeCell ref="U11:AH11"/>
    <mergeCell ref="U12:AH12"/>
    <mergeCell ref="U13:AH13"/>
    <mergeCell ref="F14:H14"/>
    <mergeCell ref="F15:H15"/>
    <mergeCell ref="J15:M15"/>
    <mergeCell ref="N15:O15"/>
    <mergeCell ref="P15:S15"/>
    <mergeCell ref="U15:X15"/>
    <mergeCell ref="Z15:AC15"/>
    <mergeCell ref="C30:AH30"/>
    <mergeCell ref="U16:AH16"/>
    <mergeCell ref="U17:AH17"/>
    <mergeCell ref="U18:AH18"/>
    <mergeCell ref="U19:AH19"/>
    <mergeCell ref="F20:H20"/>
    <mergeCell ref="C31:AH31"/>
    <mergeCell ref="C32:AH32"/>
    <mergeCell ref="Z21:AC21"/>
    <mergeCell ref="U22:AH22"/>
    <mergeCell ref="U23:AH23"/>
    <mergeCell ref="U24:AH24"/>
    <mergeCell ref="U25:AH25"/>
    <mergeCell ref="U26:AH26"/>
    <mergeCell ref="F21:H21"/>
    <mergeCell ref="J21:M21"/>
    <mergeCell ref="N21:O21"/>
    <mergeCell ref="P21:S21"/>
    <mergeCell ref="U21:X21"/>
    <mergeCell ref="F27:H27"/>
    <mergeCell ref="AH27:AI27"/>
    <mergeCell ref="C29:AH29"/>
  </mergeCells>
  <conditionalFormatting sqref="F4:AI4">
    <cfRule type="cellIs" dxfId="4" priority="34" operator="equal">
      <formula>0</formula>
    </cfRule>
  </conditionalFormatting>
  <conditionalFormatting sqref="F7:AI8">
    <cfRule type="cellIs" dxfId="3" priority="33" operator="equal">
      <formula>0</formula>
    </cfRule>
  </conditionalFormatting>
  <conditionalFormatting sqref="F11:AI13">
    <cfRule type="cellIs" dxfId="2" priority="32" operator="equal">
      <formula>0</formula>
    </cfRule>
  </conditionalFormatting>
  <conditionalFormatting sqref="F16:AI19">
    <cfRule type="cellIs" dxfId="1" priority="31" operator="equal">
      <formula>0</formula>
    </cfRule>
  </conditionalFormatting>
  <conditionalFormatting sqref="F22:AI26">
    <cfRule type="cellIs" dxfId="0" priority="30" operator="equal">
      <formula>0</formula>
    </cfRule>
  </conditionalFormatting>
  <dataValidations count="9">
    <dataValidation allowBlank="1" showInputMessage="1" showErrorMessage="1" promptTitle="GP pr. spiller" prompt="GP såfremt spilleren har spillet hele kampen." sqref="AI4 AI7:AI8 AI11:AI13 AI16:AI19 AI22:AI26"/>
    <dataValidation allowBlank="1" showInputMessage="1" showErrorMessage="1" promptTitle="Flere end 5 i pyramiden" prompt="Bonus og GP for kampe_x000a_på lavere niveau er de_x000a_samme som på 5. niveau." sqref="I21"/>
    <dataValidation type="whole" operator="greaterThanOrEqual" allowBlank="1" showInputMessage="1" showErrorMessage="1" errorTitle="Fejl" error="Kun postive heltal" promptTitle="Minimum" prompt="Mindst 4 deltagere,  hvis bonus" sqref="T3 T6 T10 T15 T21">
      <formula1>4</formula1>
    </dataValidation>
    <dataValidation allowBlank="1" showInputMessage="1" showErrorMessage="1" promptTitle="&quot;dnul&quot;" prompt="Det beregnede antal deltagere" sqref="D4 D7:D8 D11:D13 D16:D19 D22:D26"/>
    <dataValidation allowBlank="1" showInputMessage="1" showErrorMessage="1" promptTitle="Q-værdi" prompt="Q = 1, fordi holdet kun har 1 modstander i hele kampen." sqref="E4 E7:E8 E11:E13 E16:E19 E22:E26"/>
    <dataValidation type="whole" operator="greaterThan" allowBlank="1" showInputMessage="1" showErrorMessage="1" errorTitle="Fejl" error="Kun postive heltal" sqref="AD21 AD15 AD10 AD6 AD3 Y21 Y15 Y10 Y6 Y3">
      <formula1>0</formula1>
    </dataValidation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type="list" showInputMessage="1" showErrorMessage="1" errorTitle="Arrangør" error="Intet valg: Alle" promptTitle="Arrangør" prompt="Kun udvalgte turneringer  får bonus." sqref="N3:O3 N21:O21 N10:O10 N15:O15">
      <formula1>$C$1:$D$1</formula1>
    </dataValidation>
    <dataValidation type="list" showInputMessage="1" showErrorMessage="1" errorTitle="Arrangør" error="Intet valg: Alle" promptTitle="Arrangør" prompt="Kun udvalgte turneringer  får bonus." sqref="N6:O6">
      <formula1>$C$1:$D$1</formula1>
    </dataValidation>
  </dataValidations>
  <pageMargins left="0.31496062992125984" right="0.31496062992125984" top="1.7322834645669292" bottom="0.74803149606299213" header="0.31496062992125984" footer="0.31496062992125984"/>
  <pageSetup paperSize="9" scale="87" orientation="landscape" horizontalDpi="4294967295" verticalDpi="4294967295" r:id="rId1"/>
  <headerFooter>
    <oddHeader>&amp;L&amp;G&amp;C&amp;20Guldpoint i holdturneringer&amp;RVersion 1.0</oddHeader>
    <oddFooter>&amp;CUdskrevet: &amp;D</oddFooter>
  </headerFooter>
  <ignoredErrors>
    <ignoredError sqref="H1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zoomScaleNormal="100" workbookViewId="0">
      <selection activeCell="N3" sqref="N3:O3"/>
    </sheetView>
  </sheetViews>
  <sheetFormatPr defaultRowHeight="15" x14ac:dyDescent="0.25"/>
  <cols>
    <col min="1" max="1" width="2.28515625" style="14" customWidth="1"/>
    <col min="2" max="2" width="5.28515625" style="57" customWidth="1"/>
    <col min="3" max="3" width="5.7109375" style="1" customWidth="1"/>
    <col min="4" max="4" width="4.7109375" style="13" customWidth="1"/>
    <col min="5" max="5" width="9.140625" style="14" customWidth="1"/>
    <col min="6" max="7" width="5.7109375" style="14" customWidth="1"/>
    <col min="8" max="13" width="4.7109375" style="14" customWidth="1"/>
    <col min="14" max="35" width="4.28515625" style="14" customWidth="1"/>
    <col min="36" max="16384" width="9.140625" style="14"/>
  </cols>
  <sheetData>
    <row r="1" spans="1:35" ht="15" customHeight="1" x14ac:dyDescent="0.25">
      <c r="A1" s="20">
        <v>0</v>
      </c>
      <c r="B1" s="20">
        <v>1</v>
      </c>
      <c r="C1" s="18" t="s">
        <v>5</v>
      </c>
      <c r="D1" s="19" t="s">
        <v>6</v>
      </c>
      <c r="E1" s="19" t="s">
        <v>23</v>
      </c>
      <c r="F1" s="52">
        <v>0.75</v>
      </c>
      <c r="G1" s="20">
        <v>0.1</v>
      </c>
      <c r="H1" s="21">
        <v>27</v>
      </c>
      <c r="I1" s="21">
        <v>42</v>
      </c>
      <c r="J1" s="21">
        <v>100</v>
      </c>
      <c r="K1" s="21">
        <v>150</v>
      </c>
      <c r="L1" s="21">
        <v>0</v>
      </c>
      <c r="M1" s="21">
        <v>2</v>
      </c>
      <c r="N1" s="126" t="s">
        <v>19</v>
      </c>
      <c r="O1" s="126"/>
      <c r="P1" s="126"/>
      <c r="Q1" s="126"/>
      <c r="R1" s="126"/>
      <c r="S1" s="126"/>
      <c r="T1" s="126"/>
      <c r="U1" s="126"/>
      <c r="V1" s="126"/>
      <c r="W1" s="126"/>
      <c r="X1" s="126"/>
    </row>
    <row r="2" spans="1:35" ht="15" customHeight="1" x14ac:dyDescent="0.25">
      <c r="A2" s="105" t="s">
        <v>8</v>
      </c>
      <c r="B2" s="106"/>
      <c r="C2" s="110" t="s">
        <v>9</v>
      </c>
      <c r="D2" s="111"/>
      <c r="E2" s="22" t="s">
        <v>13</v>
      </c>
      <c r="F2" s="23">
        <v>1</v>
      </c>
      <c r="G2" s="23">
        <v>2</v>
      </c>
      <c r="H2" s="23">
        <v>3</v>
      </c>
      <c r="I2" s="23">
        <v>4</v>
      </c>
      <c r="J2" s="23">
        <v>5</v>
      </c>
      <c r="K2" s="23">
        <v>6</v>
      </c>
      <c r="L2" s="23">
        <v>7</v>
      </c>
      <c r="M2" s="23">
        <v>8</v>
      </c>
      <c r="N2" s="23">
        <v>9</v>
      </c>
      <c r="O2" s="23">
        <v>10</v>
      </c>
      <c r="P2" s="23">
        <v>11</v>
      </c>
      <c r="Q2" s="23">
        <v>12</v>
      </c>
      <c r="R2" s="23">
        <v>13</v>
      </c>
      <c r="S2" s="23">
        <v>14</v>
      </c>
      <c r="T2" s="23">
        <v>15</v>
      </c>
      <c r="U2" s="23">
        <v>16</v>
      </c>
      <c r="V2" s="23">
        <v>17</v>
      </c>
      <c r="W2" s="23">
        <v>18</v>
      </c>
      <c r="X2" s="23">
        <v>19</v>
      </c>
      <c r="Y2" s="23">
        <v>20</v>
      </c>
      <c r="Z2" s="23">
        <v>21</v>
      </c>
      <c r="AA2" s="23">
        <v>22</v>
      </c>
      <c r="AB2" s="23">
        <v>23</v>
      </c>
      <c r="AC2" s="23">
        <v>24</v>
      </c>
      <c r="AD2" s="23">
        <v>25</v>
      </c>
      <c r="AE2" s="23">
        <v>26</v>
      </c>
      <c r="AF2" s="23">
        <v>27</v>
      </c>
      <c r="AG2" s="23">
        <v>28</v>
      </c>
      <c r="AH2" s="23">
        <v>29</v>
      </c>
      <c r="AI2" s="24">
        <v>30</v>
      </c>
    </row>
    <row r="3" spans="1:35" ht="15" customHeight="1" x14ac:dyDescent="0.25">
      <c r="A3" s="107" t="s">
        <v>7</v>
      </c>
      <c r="B3" s="108"/>
      <c r="C3" s="5" t="s">
        <v>10</v>
      </c>
      <c r="D3" s="7" t="s">
        <v>33</v>
      </c>
      <c r="E3" s="62" t="s">
        <v>12</v>
      </c>
      <c r="F3" s="120" t="s">
        <v>11</v>
      </c>
      <c r="G3" s="121"/>
      <c r="H3" s="121"/>
      <c r="I3" s="25">
        <v>1</v>
      </c>
      <c r="J3" s="122" t="s">
        <v>3</v>
      </c>
      <c r="K3" s="122"/>
      <c r="L3" s="122"/>
      <c r="M3" s="122"/>
      <c r="N3" s="123" t="s">
        <v>5</v>
      </c>
      <c r="O3" s="123"/>
      <c r="P3" s="124" t="s">
        <v>1</v>
      </c>
      <c r="Q3" s="124"/>
      <c r="R3" s="124"/>
      <c r="S3" s="124"/>
      <c r="T3" s="15">
        <v>16</v>
      </c>
      <c r="U3" s="124" t="s">
        <v>2</v>
      </c>
      <c r="V3" s="124"/>
      <c r="W3" s="124"/>
      <c r="X3" s="124"/>
      <c r="Y3" s="15">
        <v>15</v>
      </c>
      <c r="Z3" s="124" t="s">
        <v>4</v>
      </c>
      <c r="AA3" s="124"/>
      <c r="AB3" s="124"/>
      <c r="AC3" s="124"/>
      <c r="AD3" s="15">
        <v>3</v>
      </c>
      <c r="AE3" s="26"/>
      <c r="AF3" s="26"/>
      <c r="AG3" s="26"/>
      <c r="AH3" s="26"/>
      <c r="AI3" s="27"/>
    </row>
    <row r="4" spans="1:35" ht="15" customHeight="1" x14ac:dyDescent="0.25">
      <c r="A4" s="58">
        <v>1</v>
      </c>
      <c r="B4" s="60">
        <v>1</v>
      </c>
      <c r="C4" s="16">
        <v>0</v>
      </c>
      <c r="D4" s="67">
        <f>CEILING(1+MIN(Y$3,T$3-C4-1)+MAX((T$3-C4-1-Y$3)/$M$1,0),1)</f>
        <v>16</v>
      </c>
      <c r="E4" s="63">
        <f>MAX(($G$1/($F$1*D4))^(1/(ROUNDUP(D4/3,)-1)),2/3)</f>
        <v>0.66666666666666663</v>
      </c>
      <c r="F4" s="28">
        <f>IF(CEILING($B4*$D4*(1+IF($N$3=$D$1,IF($Y$3*$AD$3&gt;=$K$1,0.4,IF($Y$3*$AD$3&gt;=$J$1,0.2,0)),0))/3,1)&gt;=F$2,CEILING($F$1*IF($Y$3*$AD$3&gt;=$I$1,1,IF($Y$3*$AD$3&gt;=$H$1,0.5,0))*(1+IF($N$3=$D$1,IF($Y$3*$AD$3&gt;=$K$1,0.4,IF($Y$3*$AD$3&gt;=$J$1,0.2,0)),0))*$B4*$D4*$E4^(F$2-1),0.1),0)</f>
        <v>12</v>
      </c>
      <c r="G4" s="28">
        <f t="shared" ref="G4:AI4" si="0">IF(CEILING($B4*$D4*(1+IF($N$3=$D$1,IF($Y$3*$AD$3&gt;=$K$1,0.4,IF($Y$3*$AD$3&gt;=$J$1,0.2,0)),0))/3,1)&gt;=G$2,CEILING($F$1*IF($Y$3*$AD$3&gt;=$I$1,1,IF($Y$3*$AD$3&gt;=$H$1,0.5,0))*(1+IF($N$3=$D$1,IF($Y$3*$AD$3&gt;=$K$1,0.4,IF($Y$3*$AD$3&gt;=$J$1,0.2,0)),0))*$B4*$D4*$E4^(G$2-1),0.1),0)</f>
        <v>8</v>
      </c>
      <c r="H4" s="28">
        <f t="shared" si="0"/>
        <v>5.4</v>
      </c>
      <c r="I4" s="28">
        <f t="shared" si="0"/>
        <v>3.6</v>
      </c>
      <c r="J4" s="28">
        <f t="shared" si="0"/>
        <v>2.4000000000000004</v>
      </c>
      <c r="K4" s="28">
        <f t="shared" si="0"/>
        <v>1.6</v>
      </c>
      <c r="L4" s="28">
        <f t="shared" si="0"/>
        <v>0</v>
      </c>
      <c r="M4" s="28">
        <f t="shared" si="0"/>
        <v>0</v>
      </c>
      <c r="N4" s="28">
        <f t="shared" si="0"/>
        <v>0</v>
      </c>
      <c r="O4" s="28">
        <f t="shared" si="0"/>
        <v>0</v>
      </c>
      <c r="P4" s="28">
        <f t="shared" si="0"/>
        <v>0</v>
      </c>
      <c r="Q4" s="28">
        <f t="shared" si="0"/>
        <v>0</v>
      </c>
      <c r="R4" s="28">
        <f t="shared" si="0"/>
        <v>0</v>
      </c>
      <c r="S4" s="28">
        <f t="shared" si="0"/>
        <v>0</v>
      </c>
      <c r="T4" s="28">
        <f t="shared" si="0"/>
        <v>0</v>
      </c>
      <c r="U4" s="28">
        <f t="shared" si="0"/>
        <v>0</v>
      </c>
      <c r="V4" s="28">
        <f t="shared" si="0"/>
        <v>0</v>
      </c>
      <c r="W4" s="28">
        <f t="shared" si="0"/>
        <v>0</v>
      </c>
      <c r="X4" s="28">
        <f t="shared" si="0"/>
        <v>0</v>
      </c>
      <c r="Y4" s="28">
        <f t="shared" si="0"/>
        <v>0</v>
      </c>
      <c r="Z4" s="28">
        <f t="shared" si="0"/>
        <v>0</v>
      </c>
      <c r="AA4" s="28">
        <f t="shared" si="0"/>
        <v>0</v>
      </c>
      <c r="AB4" s="28">
        <f t="shared" si="0"/>
        <v>0</v>
      </c>
      <c r="AC4" s="28">
        <f t="shared" si="0"/>
        <v>0</v>
      </c>
      <c r="AD4" s="28">
        <f t="shared" si="0"/>
        <v>0</v>
      </c>
      <c r="AE4" s="28">
        <f t="shared" si="0"/>
        <v>0</v>
      </c>
      <c r="AF4" s="28">
        <f t="shared" si="0"/>
        <v>0</v>
      </c>
      <c r="AG4" s="28">
        <f t="shared" si="0"/>
        <v>0</v>
      </c>
      <c r="AH4" s="28">
        <f t="shared" si="0"/>
        <v>0</v>
      </c>
      <c r="AI4" s="29">
        <f t="shared" si="0"/>
        <v>0</v>
      </c>
    </row>
    <row r="5" spans="1:35" ht="15" customHeight="1" x14ac:dyDescent="0.25">
      <c r="A5" s="58"/>
      <c r="B5" s="60"/>
      <c r="C5" s="6"/>
      <c r="D5" s="68"/>
      <c r="E5" s="64"/>
      <c r="F5" s="3"/>
      <c r="G5" s="3"/>
      <c r="H5" s="3"/>
      <c r="I5" s="3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5" customHeight="1" x14ac:dyDescent="0.25">
      <c r="A6" s="58"/>
      <c r="B6" s="60"/>
      <c r="C6" s="6"/>
      <c r="D6" s="68"/>
      <c r="E6" s="64"/>
      <c r="F6" s="125" t="s">
        <v>11</v>
      </c>
      <c r="G6" s="112"/>
      <c r="H6" s="112"/>
      <c r="I6" s="25">
        <v>2</v>
      </c>
      <c r="J6" s="113" t="s">
        <v>3</v>
      </c>
      <c r="K6" s="113"/>
      <c r="L6" s="113"/>
      <c r="M6" s="113"/>
      <c r="N6" s="118" t="s">
        <v>5</v>
      </c>
      <c r="O6" s="118"/>
      <c r="P6" s="116" t="s">
        <v>1</v>
      </c>
      <c r="Q6" s="116"/>
      <c r="R6" s="116"/>
      <c r="S6" s="116"/>
      <c r="T6" s="15">
        <v>16</v>
      </c>
      <c r="U6" s="116" t="s">
        <v>2</v>
      </c>
      <c r="V6" s="116"/>
      <c r="W6" s="116"/>
      <c r="X6" s="116"/>
      <c r="Y6" s="15">
        <v>15</v>
      </c>
      <c r="Z6" s="116" t="s">
        <v>4</v>
      </c>
      <c r="AA6" s="116"/>
      <c r="AB6" s="116"/>
      <c r="AC6" s="116"/>
      <c r="AD6" s="15">
        <v>3</v>
      </c>
      <c r="AE6" s="26"/>
      <c r="AF6" s="26"/>
      <c r="AG6" s="26"/>
      <c r="AH6" s="26"/>
      <c r="AI6" s="27"/>
    </row>
    <row r="7" spans="1:35" ht="15" customHeight="1" x14ac:dyDescent="0.25">
      <c r="A7" s="58">
        <v>1</v>
      </c>
      <c r="B7" s="60">
        <v>1.1000000000000001</v>
      </c>
      <c r="C7" s="16">
        <v>0</v>
      </c>
      <c r="D7" s="67">
        <f>CEILING(1+MIN(Y$6,T$6-C7-1)+MAX((T$6-C7-1-Y$6)/$M$1,0),1)</f>
        <v>16</v>
      </c>
      <c r="E7" s="63">
        <f>MAX(($G$1/($F$1*D7))^(1/(ROUNDUP(D7/3,)-1)),2/3)</f>
        <v>0.66666666666666663</v>
      </c>
      <c r="F7" s="28">
        <f>IF(CEILING($B7*$D7*(1+IF($N$6=$D$1,IF($Y$6*$AD$6&gt;=$K$1,0.4,IF($Y$6*$AD$6&gt;=$J$1,0.2,0)),0))/3,1)&gt;=F$2,CEILING($F$1*IF($Y$6*$AD$6&gt;=$I$1,1,IF($Y$6*$AD$6&gt;=$H$1,0.5,0))*(1+IF($N$6=$D$1,IF($Y$6*$AD$6&gt;=$K$1,0.4,IF($Y$6*$AD$6&gt;=$J$1,0.2,0)),0))*$B7*$D7*$E7^(F$2-1),0.1),0)</f>
        <v>13.200000000000001</v>
      </c>
      <c r="G7" s="28">
        <f t="shared" ref="G7:AI8" si="1">IF(CEILING($B7*$D7*(1+IF($N$6=$D$1,IF($Y$6*$AD$6&gt;=$K$1,0.4,IF($Y$6*$AD$6&gt;=$J$1,0.2,0)),0))/3,1)&gt;=G$2,CEILING($F$1*IF($Y$6*$AD$6&gt;=$I$1,1,IF($Y$6*$AD$6&gt;=$H$1,0.5,0))*(1+IF($N$6=$D$1,IF($Y$6*$AD$6&gt;=$K$1,0.4,IF($Y$6*$AD$6&gt;=$J$1,0.2,0)),0))*$B7*$D7*$E7^(G$2-1),0.1),0)</f>
        <v>8.8000000000000007</v>
      </c>
      <c r="H7" s="28">
        <f t="shared" si="1"/>
        <v>5.9</v>
      </c>
      <c r="I7" s="28">
        <f t="shared" si="1"/>
        <v>4</v>
      </c>
      <c r="J7" s="28">
        <f t="shared" si="1"/>
        <v>2.7</v>
      </c>
      <c r="K7" s="28">
        <f t="shared" si="1"/>
        <v>1.8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0</v>
      </c>
      <c r="U7" s="28">
        <f t="shared" si="1"/>
        <v>0</v>
      </c>
      <c r="V7" s="28">
        <f t="shared" si="1"/>
        <v>0</v>
      </c>
      <c r="W7" s="28">
        <f t="shared" si="1"/>
        <v>0</v>
      </c>
      <c r="X7" s="28">
        <f t="shared" si="1"/>
        <v>0</v>
      </c>
      <c r="Y7" s="28">
        <f t="shared" si="1"/>
        <v>0</v>
      </c>
      <c r="Z7" s="28">
        <f t="shared" si="1"/>
        <v>0</v>
      </c>
      <c r="AA7" s="28">
        <f t="shared" si="1"/>
        <v>0</v>
      </c>
      <c r="AB7" s="28">
        <f t="shared" si="1"/>
        <v>0</v>
      </c>
      <c r="AC7" s="28">
        <f t="shared" si="1"/>
        <v>0</v>
      </c>
      <c r="AD7" s="28">
        <f t="shared" si="1"/>
        <v>0</v>
      </c>
      <c r="AE7" s="28">
        <f t="shared" si="1"/>
        <v>0</v>
      </c>
      <c r="AF7" s="28">
        <f t="shared" si="1"/>
        <v>0</v>
      </c>
      <c r="AG7" s="28">
        <f t="shared" si="1"/>
        <v>0</v>
      </c>
      <c r="AH7" s="28">
        <f t="shared" si="1"/>
        <v>0</v>
      </c>
      <c r="AI7" s="29">
        <f t="shared" si="1"/>
        <v>0</v>
      </c>
    </row>
    <row r="8" spans="1:35" ht="15" customHeight="1" x14ac:dyDescent="0.25">
      <c r="A8" s="58">
        <v>2</v>
      </c>
      <c r="B8" s="60">
        <v>0.9</v>
      </c>
      <c r="C8" s="16">
        <v>0</v>
      </c>
      <c r="D8" s="67">
        <f>CEILING(1+MIN(Y$6,T$6-C8-1)+MAX((T$6-C8-1-Y$6)/$M$1,0),1)</f>
        <v>16</v>
      </c>
      <c r="E8" s="63">
        <f>MAX(($G$1/($F$1*D8))^(1/(ROUNDUP(D8/3,)-1)),2/3)</f>
        <v>0.66666666666666663</v>
      </c>
      <c r="F8" s="28">
        <f>IF(CEILING($B8*$D8*(1+IF($N$6=$D$1,IF($Y$6*$AD$6&gt;=$K$1,0.4,IF($Y$6*$AD$6&gt;=$J$1,0.2,0)),0))/3,1)&gt;=F$2,CEILING($F$1*IF($Y$6*$AD$6&gt;=$I$1,1,IF($Y$6*$AD$6&gt;=$H$1,0.5,0))*(1+IF($N$6=$D$1,IF($Y$6*$AD$6&gt;=$K$1,0.4,IF($Y$6*$AD$6&gt;=$J$1,0.2,0)),0))*$B8*$D8*$E8^(F$2-1),0.1),0)</f>
        <v>10.8</v>
      </c>
      <c r="G8" s="28">
        <f t="shared" si="1"/>
        <v>7.2</v>
      </c>
      <c r="H8" s="28">
        <f t="shared" si="1"/>
        <v>4.8000000000000007</v>
      </c>
      <c r="I8" s="28">
        <f t="shared" si="1"/>
        <v>3.2</v>
      </c>
      <c r="J8" s="28">
        <f t="shared" si="1"/>
        <v>2.2000000000000002</v>
      </c>
      <c r="K8" s="28">
        <f t="shared" si="1"/>
        <v>0</v>
      </c>
      <c r="L8" s="28">
        <f t="shared" si="1"/>
        <v>0</v>
      </c>
      <c r="M8" s="28">
        <f t="shared" si="1"/>
        <v>0</v>
      </c>
      <c r="N8" s="28">
        <f t="shared" si="1"/>
        <v>0</v>
      </c>
      <c r="O8" s="28">
        <f t="shared" si="1"/>
        <v>0</v>
      </c>
      <c r="P8" s="28">
        <f t="shared" si="1"/>
        <v>0</v>
      </c>
      <c r="Q8" s="28">
        <f t="shared" si="1"/>
        <v>0</v>
      </c>
      <c r="R8" s="28">
        <f t="shared" si="1"/>
        <v>0</v>
      </c>
      <c r="S8" s="28">
        <f t="shared" si="1"/>
        <v>0</v>
      </c>
      <c r="T8" s="28">
        <f t="shared" si="1"/>
        <v>0</v>
      </c>
      <c r="U8" s="28">
        <f t="shared" si="1"/>
        <v>0</v>
      </c>
      <c r="V8" s="28">
        <f t="shared" si="1"/>
        <v>0</v>
      </c>
      <c r="W8" s="28">
        <f t="shared" si="1"/>
        <v>0</v>
      </c>
      <c r="X8" s="28">
        <f t="shared" si="1"/>
        <v>0</v>
      </c>
      <c r="Y8" s="28">
        <f t="shared" si="1"/>
        <v>0</v>
      </c>
      <c r="Z8" s="28">
        <f t="shared" si="1"/>
        <v>0</v>
      </c>
      <c r="AA8" s="28">
        <f t="shared" si="1"/>
        <v>0</v>
      </c>
      <c r="AB8" s="28">
        <f t="shared" si="1"/>
        <v>0</v>
      </c>
      <c r="AC8" s="28">
        <f t="shared" si="1"/>
        <v>0</v>
      </c>
      <c r="AD8" s="28">
        <f t="shared" si="1"/>
        <v>0</v>
      </c>
      <c r="AE8" s="28">
        <f t="shared" si="1"/>
        <v>0</v>
      </c>
      <c r="AF8" s="28">
        <f t="shared" si="1"/>
        <v>0</v>
      </c>
      <c r="AG8" s="28">
        <f t="shared" si="1"/>
        <v>0</v>
      </c>
      <c r="AH8" s="28">
        <f t="shared" si="1"/>
        <v>0</v>
      </c>
      <c r="AI8" s="29">
        <f t="shared" si="1"/>
        <v>0</v>
      </c>
    </row>
    <row r="9" spans="1:35" ht="15" customHeight="1" x14ac:dyDescent="0.25">
      <c r="A9" s="58"/>
      <c r="B9" s="60"/>
      <c r="C9" s="6"/>
      <c r="D9" s="68"/>
      <c r="E9" s="64"/>
      <c r="F9" s="3"/>
      <c r="G9" s="3"/>
      <c r="H9" s="3"/>
      <c r="I9" s="3"/>
      <c r="J9" s="8"/>
      <c r="K9" s="8"/>
      <c r="L9" s="8"/>
      <c r="M9" s="8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4"/>
    </row>
    <row r="10" spans="1:35" ht="15" customHeight="1" x14ac:dyDescent="0.25">
      <c r="A10" s="58"/>
      <c r="B10" s="60"/>
      <c r="C10" s="6"/>
      <c r="D10" s="68"/>
      <c r="E10" s="64"/>
      <c r="F10" s="125" t="s">
        <v>11</v>
      </c>
      <c r="G10" s="112"/>
      <c r="H10" s="112"/>
      <c r="I10" s="25">
        <v>3</v>
      </c>
      <c r="J10" s="113" t="s">
        <v>3</v>
      </c>
      <c r="K10" s="113"/>
      <c r="L10" s="113"/>
      <c r="M10" s="113"/>
      <c r="N10" s="118" t="s">
        <v>5</v>
      </c>
      <c r="O10" s="118"/>
      <c r="P10" s="116" t="s">
        <v>1</v>
      </c>
      <c r="Q10" s="116"/>
      <c r="R10" s="116"/>
      <c r="S10" s="116"/>
      <c r="T10" s="15">
        <v>16</v>
      </c>
      <c r="U10" s="116" t="s">
        <v>2</v>
      </c>
      <c r="V10" s="116"/>
      <c r="W10" s="116"/>
      <c r="X10" s="116"/>
      <c r="Y10" s="15">
        <v>15</v>
      </c>
      <c r="Z10" s="116" t="s">
        <v>4</v>
      </c>
      <c r="AA10" s="116"/>
      <c r="AB10" s="116"/>
      <c r="AC10" s="116"/>
      <c r="AD10" s="15">
        <v>3</v>
      </c>
      <c r="AE10" s="26"/>
      <c r="AF10" s="26"/>
      <c r="AG10" s="26"/>
      <c r="AH10" s="26"/>
      <c r="AI10" s="27"/>
    </row>
    <row r="11" spans="1:35" ht="15" customHeight="1" x14ac:dyDescent="0.25">
      <c r="A11" s="58">
        <v>1</v>
      </c>
      <c r="B11" s="60">
        <v>1.1499999999999999</v>
      </c>
      <c r="C11" s="16">
        <v>0</v>
      </c>
      <c r="D11" s="67">
        <f>CEILING(1+MIN(Y$10,T$10-C11-1)+MAX((T$10-C11-1-Y$10)/$M$1,0),1)</f>
        <v>16</v>
      </c>
      <c r="E11" s="63">
        <f>MAX(($G$1/($F$1*D11))^(1/(ROUNDUP(D11/3,)-1)),2/3)</f>
        <v>0.66666666666666663</v>
      </c>
      <c r="F11" s="28">
        <f>IF(CEILING($B11*$D11*(1+IF($N$10=$D$1,IF($Y$10*$AD$10&gt;=$K$1,0.4,IF($Y$10*$AD$10&gt;=$J$1,0.2,0)),0))/3,1)&gt;=F$2,CEILING($F$1*IF($Y$10*$AD$10&gt;=$I$1,1,IF($Y$10*$AD$10&gt;=$H$1,0.5,0))*(1+IF($N$10=$D$1,IF($Y$10*$AD$10&gt;=$K$1,0.4,IF($Y$10*$AD$10&gt;=$J$1,0.2,0)),0))*$B11*$D11*$E11^(F$2-1),0.1),0)</f>
        <v>13.8</v>
      </c>
      <c r="G11" s="28">
        <f t="shared" ref="G11:AI13" si="2">IF(CEILING($B11*$D11*(1+IF($N$10=$D$1,IF($Y$10*$AD$10&gt;=$K$1,0.4,IF($Y$10*$AD$10&gt;=$J$1,0.2,0)),0))/3,1)&gt;=G$2,CEILING($F$1*IF($Y$10*$AD$10&gt;=$I$1,1,IF($Y$10*$AD$10&gt;=$H$1,0.5,0))*(1+IF($N$10=$D$1,IF($Y$10*$AD$10&gt;=$K$1,0.4,IF($Y$10*$AD$10&gt;=$J$1,0.2,0)),0))*$B11*$D11*$E11^(G$2-1),0.1),0)</f>
        <v>9.2000000000000011</v>
      </c>
      <c r="H11" s="28">
        <f t="shared" si="2"/>
        <v>6.2</v>
      </c>
      <c r="I11" s="28">
        <f t="shared" si="2"/>
        <v>4.1000000000000005</v>
      </c>
      <c r="J11" s="28">
        <f t="shared" si="2"/>
        <v>2.8000000000000003</v>
      </c>
      <c r="K11" s="28">
        <f t="shared" si="2"/>
        <v>1.9000000000000001</v>
      </c>
      <c r="L11" s="28">
        <f t="shared" si="2"/>
        <v>1.3</v>
      </c>
      <c r="M11" s="28">
        <f t="shared" si="2"/>
        <v>0</v>
      </c>
      <c r="N11" s="28">
        <f t="shared" si="2"/>
        <v>0</v>
      </c>
      <c r="O11" s="28">
        <f t="shared" si="2"/>
        <v>0</v>
      </c>
      <c r="P11" s="28">
        <f t="shared" si="2"/>
        <v>0</v>
      </c>
      <c r="Q11" s="28">
        <f t="shared" si="2"/>
        <v>0</v>
      </c>
      <c r="R11" s="28">
        <f t="shared" si="2"/>
        <v>0</v>
      </c>
      <c r="S11" s="28">
        <f t="shared" si="2"/>
        <v>0</v>
      </c>
      <c r="T11" s="28">
        <f t="shared" si="2"/>
        <v>0</v>
      </c>
      <c r="U11" s="28">
        <f t="shared" si="2"/>
        <v>0</v>
      </c>
      <c r="V11" s="28">
        <f t="shared" si="2"/>
        <v>0</v>
      </c>
      <c r="W11" s="28">
        <f t="shared" si="2"/>
        <v>0</v>
      </c>
      <c r="X11" s="28">
        <f t="shared" si="2"/>
        <v>0</v>
      </c>
      <c r="Y11" s="28">
        <f t="shared" si="2"/>
        <v>0</v>
      </c>
      <c r="Z11" s="28">
        <f t="shared" si="2"/>
        <v>0</v>
      </c>
      <c r="AA11" s="28">
        <f t="shared" si="2"/>
        <v>0</v>
      </c>
      <c r="AB11" s="28">
        <f t="shared" si="2"/>
        <v>0</v>
      </c>
      <c r="AC11" s="28">
        <f t="shared" si="2"/>
        <v>0</v>
      </c>
      <c r="AD11" s="28">
        <f t="shared" si="2"/>
        <v>0</v>
      </c>
      <c r="AE11" s="28">
        <f t="shared" si="2"/>
        <v>0</v>
      </c>
      <c r="AF11" s="28">
        <f t="shared" si="2"/>
        <v>0</v>
      </c>
      <c r="AG11" s="28">
        <f t="shared" si="2"/>
        <v>0</v>
      </c>
      <c r="AH11" s="28">
        <f t="shared" si="2"/>
        <v>0</v>
      </c>
      <c r="AI11" s="29">
        <f t="shared" si="2"/>
        <v>0</v>
      </c>
    </row>
    <row r="12" spans="1:35" ht="15" customHeight="1" x14ac:dyDescent="0.25">
      <c r="A12" s="58">
        <v>2</v>
      </c>
      <c r="B12" s="60">
        <v>1</v>
      </c>
      <c r="C12" s="16">
        <v>0</v>
      </c>
      <c r="D12" s="67">
        <f>CEILING(1+MIN(Y$10,T$10-C12-1)+MAX((T$10-C12-1-Y$10)/$M$1,0),1)</f>
        <v>16</v>
      </c>
      <c r="E12" s="63">
        <f>MAX(($G$1/($F$1*D12))^(1/(ROUNDUP(D12/3,)-1)),2/3)</f>
        <v>0.66666666666666663</v>
      </c>
      <c r="F12" s="28">
        <f t="shared" ref="F12:U13" si="3">IF(CEILING($B12*$D12*(1+IF($N$10=$D$1,IF($Y$10*$AD$10&gt;=$K$1,0.4,IF($Y$10*$AD$10&gt;=$J$1,0.2,0)),0))/3,1)&gt;=F$2,CEILING($F$1*IF($Y$10*$AD$10&gt;=$I$1,1,IF($Y$10*$AD$10&gt;=$H$1,0.5,0))*(1+IF($N$10=$D$1,IF($Y$10*$AD$10&gt;=$K$1,0.4,IF($Y$10*$AD$10&gt;=$J$1,0.2,0)),0))*$B12*$D12*$E12^(F$2-1),0.1),0)</f>
        <v>12</v>
      </c>
      <c r="G12" s="28">
        <f t="shared" si="3"/>
        <v>8</v>
      </c>
      <c r="H12" s="28">
        <f t="shared" si="3"/>
        <v>5.4</v>
      </c>
      <c r="I12" s="28">
        <f t="shared" si="3"/>
        <v>3.6</v>
      </c>
      <c r="J12" s="28">
        <f t="shared" si="3"/>
        <v>2.4000000000000004</v>
      </c>
      <c r="K12" s="28">
        <f t="shared" si="3"/>
        <v>1.6</v>
      </c>
      <c r="L12" s="28">
        <f t="shared" si="3"/>
        <v>0</v>
      </c>
      <c r="M12" s="28">
        <f t="shared" si="3"/>
        <v>0</v>
      </c>
      <c r="N12" s="28">
        <f t="shared" si="3"/>
        <v>0</v>
      </c>
      <c r="O12" s="28">
        <f t="shared" si="3"/>
        <v>0</v>
      </c>
      <c r="P12" s="28">
        <f t="shared" si="3"/>
        <v>0</v>
      </c>
      <c r="Q12" s="28">
        <f t="shared" si="3"/>
        <v>0</v>
      </c>
      <c r="R12" s="28">
        <f t="shared" si="3"/>
        <v>0</v>
      </c>
      <c r="S12" s="28">
        <f t="shared" si="3"/>
        <v>0</v>
      </c>
      <c r="T12" s="28">
        <f t="shared" si="3"/>
        <v>0</v>
      </c>
      <c r="U12" s="28">
        <f t="shared" si="3"/>
        <v>0</v>
      </c>
      <c r="V12" s="28">
        <f t="shared" si="2"/>
        <v>0</v>
      </c>
      <c r="W12" s="28">
        <f t="shared" si="2"/>
        <v>0</v>
      </c>
      <c r="X12" s="28">
        <f t="shared" si="2"/>
        <v>0</v>
      </c>
      <c r="Y12" s="28">
        <f t="shared" si="2"/>
        <v>0</v>
      </c>
      <c r="Z12" s="28">
        <f t="shared" si="2"/>
        <v>0</v>
      </c>
      <c r="AA12" s="28">
        <f t="shared" si="2"/>
        <v>0</v>
      </c>
      <c r="AB12" s="28">
        <f t="shared" si="2"/>
        <v>0</v>
      </c>
      <c r="AC12" s="28">
        <f t="shared" si="2"/>
        <v>0</v>
      </c>
      <c r="AD12" s="28">
        <f t="shared" si="2"/>
        <v>0</v>
      </c>
      <c r="AE12" s="28">
        <f t="shared" si="2"/>
        <v>0</v>
      </c>
      <c r="AF12" s="28">
        <f t="shared" si="2"/>
        <v>0</v>
      </c>
      <c r="AG12" s="28">
        <f t="shared" si="2"/>
        <v>0</v>
      </c>
      <c r="AH12" s="28">
        <f t="shared" si="2"/>
        <v>0</v>
      </c>
      <c r="AI12" s="29">
        <f t="shared" si="2"/>
        <v>0</v>
      </c>
    </row>
    <row r="13" spans="1:35" ht="15" customHeight="1" x14ac:dyDescent="0.25">
      <c r="A13" s="58">
        <v>3</v>
      </c>
      <c r="B13" s="60">
        <v>0.85</v>
      </c>
      <c r="C13" s="16">
        <v>0</v>
      </c>
      <c r="D13" s="67">
        <f>CEILING(1+MIN(Y$10,T$10-C13-1)+MAX((T$10-C13-1-Y$10)/$M$1,0),1)</f>
        <v>16</v>
      </c>
      <c r="E13" s="63">
        <f>MAX(($G$1/($F$1*D13))^(1/(ROUNDUP(D13/3,)-1)),2/3)</f>
        <v>0.66666666666666663</v>
      </c>
      <c r="F13" s="28">
        <f t="shared" si="3"/>
        <v>10.200000000000001</v>
      </c>
      <c r="G13" s="28">
        <f t="shared" si="2"/>
        <v>6.8000000000000007</v>
      </c>
      <c r="H13" s="28">
        <f t="shared" si="2"/>
        <v>4.6000000000000005</v>
      </c>
      <c r="I13" s="28">
        <f t="shared" si="2"/>
        <v>3.1</v>
      </c>
      <c r="J13" s="28">
        <f t="shared" si="2"/>
        <v>2.1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28">
        <f t="shared" si="2"/>
        <v>0</v>
      </c>
      <c r="Q13" s="28">
        <f t="shared" si="2"/>
        <v>0</v>
      </c>
      <c r="R13" s="28">
        <f t="shared" si="2"/>
        <v>0</v>
      </c>
      <c r="S13" s="28">
        <f t="shared" si="2"/>
        <v>0</v>
      </c>
      <c r="T13" s="28">
        <f t="shared" si="2"/>
        <v>0</v>
      </c>
      <c r="U13" s="28">
        <f t="shared" si="2"/>
        <v>0</v>
      </c>
      <c r="V13" s="28">
        <f t="shared" si="2"/>
        <v>0</v>
      </c>
      <c r="W13" s="28">
        <f t="shared" si="2"/>
        <v>0</v>
      </c>
      <c r="X13" s="28">
        <f t="shared" si="2"/>
        <v>0</v>
      </c>
      <c r="Y13" s="28">
        <f t="shared" si="2"/>
        <v>0</v>
      </c>
      <c r="Z13" s="28">
        <f t="shared" si="2"/>
        <v>0</v>
      </c>
      <c r="AA13" s="28">
        <f t="shared" si="2"/>
        <v>0</v>
      </c>
      <c r="AB13" s="28">
        <f t="shared" si="2"/>
        <v>0</v>
      </c>
      <c r="AC13" s="28">
        <f t="shared" si="2"/>
        <v>0</v>
      </c>
      <c r="AD13" s="28">
        <f t="shared" si="2"/>
        <v>0</v>
      </c>
      <c r="AE13" s="28">
        <f t="shared" si="2"/>
        <v>0</v>
      </c>
      <c r="AF13" s="28">
        <f t="shared" si="2"/>
        <v>0</v>
      </c>
      <c r="AG13" s="28">
        <f t="shared" si="2"/>
        <v>0</v>
      </c>
      <c r="AH13" s="28">
        <f t="shared" si="2"/>
        <v>0</v>
      </c>
      <c r="AI13" s="29">
        <f t="shared" si="2"/>
        <v>0</v>
      </c>
    </row>
    <row r="14" spans="1:35" ht="15" customHeight="1" x14ac:dyDescent="0.25">
      <c r="A14" s="58"/>
      <c r="B14" s="60"/>
      <c r="C14" s="6"/>
      <c r="D14" s="68"/>
      <c r="E14" s="64"/>
      <c r="F14" s="3"/>
      <c r="G14" s="3"/>
      <c r="H14" s="3"/>
      <c r="I14" s="3"/>
      <c r="J14" s="8"/>
      <c r="K14" s="8"/>
      <c r="L14" s="8"/>
      <c r="M14" s="8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4"/>
    </row>
    <row r="15" spans="1:35" ht="15" customHeight="1" x14ac:dyDescent="0.25">
      <c r="A15" s="58"/>
      <c r="B15" s="60"/>
      <c r="C15" s="6"/>
      <c r="D15" s="68"/>
      <c r="E15" s="64"/>
      <c r="F15" s="125" t="s">
        <v>11</v>
      </c>
      <c r="G15" s="112"/>
      <c r="H15" s="112"/>
      <c r="I15" s="25">
        <v>4</v>
      </c>
      <c r="J15" s="113" t="s">
        <v>3</v>
      </c>
      <c r="K15" s="113"/>
      <c r="L15" s="113"/>
      <c r="M15" s="113"/>
      <c r="N15" s="118" t="s">
        <v>5</v>
      </c>
      <c r="O15" s="118"/>
      <c r="P15" s="116" t="s">
        <v>1</v>
      </c>
      <c r="Q15" s="116"/>
      <c r="R15" s="116"/>
      <c r="S15" s="116"/>
      <c r="T15" s="15">
        <v>16</v>
      </c>
      <c r="U15" s="116" t="s">
        <v>2</v>
      </c>
      <c r="V15" s="116"/>
      <c r="W15" s="116"/>
      <c r="X15" s="116"/>
      <c r="Y15" s="15">
        <v>15</v>
      </c>
      <c r="Z15" s="116" t="s">
        <v>4</v>
      </c>
      <c r="AA15" s="116"/>
      <c r="AB15" s="116"/>
      <c r="AC15" s="116"/>
      <c r="AD15" s="15">
        <v>3</v>
      </c>
      <c r="AE15" s="26"/>
      <c r="AF15" s="26"/>
      <c r="AG15" s="26"/>
      <c r="AH15" s="26"/>
      <c r="AI15" s="27"/>
    </row>
    <row r="16" spans="1:35" ht="15" customHeight="1" x14ac:dyDescent="0.25">
      <c r="A16" s="58">
        <v>1</v>
      </c>
      <c r="B16" s="60">
        <v>1.1499999999999999</v>
      </c>
      <c r="C16" s="16">
        <v>0</v>
      </c>
      <c r="D16" s="67">
        <f>CEILING(1+MIN(Y$15,T$15-C16-1)+MAX((T$15-C16-1-Y$15)/$M$1,0),1)</f>
        <v>16</v>
      </c>
      <c r="E16" s="63">
        <f>MAX(($G$1/($F$1*D16))^(1/(ROUNDUP(D16/3,)-1)),2/3)</f>
        <v>0.66666666666666663</v>
      </c>
      <c r="F16" s="28">
        <f>IF(CEILING($B16*$D16*(1+IF($N$15=$D$1,IF($Y$15*$AD$15&gt;=$K$1,0.4,IF($Y$15*$AD$15&gt;=$J$1,0.2,0)),0))/3,1)&gt;=F$2,CEILING($F$1*IF($Y$15*$AD$15&gt;=$I$1,1,IF($Y$15*$AD$15&gt;=$H$1,0.5,0))*(1+IF($N$15=$D$1,IF($Y$15*$AD$15&gt;=$K$1,0.4,IF($Y$15*$AD$15&gt;=$J$1,0.2,0)),0))*$B16*$D16*$E16^(F$2-1),0.1),0)</f>
        <v>13.8</v>
      </c>
      <c r="G16" s="28">
        <f t="shared" ref="G16:AI19" si="4">IF(CEILING($B16*$D16*(1+IF($N$15=$D$1,IF($Y$15*$AD$15&gt;=$K$1,0.4,IF($Y$15*$AD$15&gt;=$J$1,0.2,0)),0))/3,1)&gt;=G$2,CEILING($F$1*IF($Y$15*$AD$15&gt;=$I$1,1,IF($Y$15*$AD$15&gt;=$H$1,0.5,0))*(1+IF($N$15=$D$1,IF($Y$15*$AD$15&gt;=$K$1,0.4,IF($Y$15*$AD$15&gt;=$J$1,0.2,0)),0))*$B16*$D16*$E16^(G$2-1),0.1),0)</f>
        <v>9.2000000000000011</v>
      </c>
      <c r="H16" s="28">
        <f t="shared" si="4"/>
        <v>6.2</v>
      </c>
      <c r="I16" s="28">
        <f t="shared" si="4"/>
        <v>4.1000000000000005</v>
      </c>
      <c r="J16" s="28">
        <f t="shared" si="4"/>
        <v>2.8000000000000003</v>
      </c>
      <c r="K16" s="28">
        <f t="shared" si="4"/>
        <v>1.9000000000000001</v>
      </c>
      <c r="L16" s="28">
        <f t="shared" si="4"/>
        <v>1.3</v>
      </c>
      <c r="M16" s="28">
        <f t="shared" si="4"/>
        <v>0</v>
      </c>
      <c r="N16" s="28">
        <f t="shared" si="4"/>
        <v>0</v>
      </c>
      <c r="O16" s="28">
        <f t="shared" si="4"/>
        <v>0</v>
      </c>
      <c r="P16" s="28">
        <f t="shared" si="4"/>
        <v>0</v>
      </c>
      <c r="Q16" s="28">
        <f t="shared" si="4"/>
        <v>0</v>
      </c>
      <c r="R16" s="28">
        <f t="shared" si="4"/>
        <v>0</v>
      </c>
      <c r="S16" s="28">
        <f t="shared" si="4"/>
        <v>0</v>
      </c>
      <c r="T16" s="28">
        <f t="shared" si="4"/>
        <v>0</v>
      </c>
      <c r="U16" s="28">
        <f t="shared" si="4"/>
        <v>0</v>
      </c>
      <c r="V16" s="28">
        <f t="shared" si="4"/>
        <v>0</v>
      </c>
      <c r="W16" s="28">
        <f t="shared" si="4"/>
        <v>0</v>
      </c>
      <c r="X16" s="28">
        <f t="shared" si="4"/>
        <v>0</v>
      </c>
      <c r="Y16" s="28">
        <f t="shared" si="4"/>
        <v>0</v>
      </c>
      <c r="Z16" s="28">
        <f t="shared" si="4"/>
        <v>0</v>
      </c>
      <c r="AA16" s="28">
        <f t="shared" si="4"/>
        <v>0</v>
      </c>
      <c r="AB16" s="28">
        <f t="shared" si="4"/>
        <v>0</v>
      </c>
      <c r="AC16" s="28">
        <f t="shared" si="4"/>
        <v>0</v>
      </c>
      <c r="AD16" s="28">
        <f t="shared" si="4"/>
        <v>0</v>
      </c>
      <c r="AE16" s="28">
        <f t="shared" si="4"/>
        <v>0</v>
      </c>
      <c r="AF16" s="28">
        <f t="shared" si="4"/>
        <v>0</v>
      </c>
      <c r="AG16" s="28">
        <f t="shared" si="4"/>
        <v>0</v>
      </c>
      <c r="AH16" s="28">
        <f t="shared" si="4"/>
        <v>0</v>
      </c>
      <c r="AI16" s="29">
        <f t="shared" si="4"/>
        <v>0</v>
      </c>
    </row>
    <row r="17" spans="1:35" ht="15" customHeight="1" x14ac:dyDescent="0.25">
      <c r="A17" s="58">
        <v>2</v>
      </c>
      <c r="B17" s="60">
        <v>1.05</v>
      </c>
      <c r="C17" s="16">
        <v>0</v>
      </c>
      <c r="D17" s="67">
        <f>CEILING(1+MIN(Y$15,T$15-C17-1)+MAX((T$15-C17-1-Y$15)/$M$1,0),1)</f>
        <v>16</v>
      </c>
      <c r="E17" s="63">
        <f>MAX(($G$1/($F$1*D17))^(1/(ROUNDUP(D17/3,)-1)),2/3)</f>
        <v>0.66666666666666663</v>
      </c>
      <c r="F17" s="28">
        <f t="shared" ref="F17:U19" si="5">IF(CEILING($B17*$D17*(1+IF($N$15=$D$1,IF($Y$15*$AD$15&gt;=$K$1,0.4,IF($Y$15*$AD$15&gt;=$J$1,0.2,0)),0))/3,1)&gt;=F$2,CEILING($F$1*IF($Y$15*$AD$15&gt;=$I$1,1,IF($Y$15*$AD$15&gt;=$H$1,0.5,0))*(1+IF($N$15=$D$1,IF($Y$15*$AD$15&gt;=$K$1,0.4,IF($Y$15*$AD$15&gt;=$J$1,0.2,0)),0))*$B17*$D17*$E17^(F$2-1),0.1),0)</f>
        <v>12.600000000000001</v>
      </c>
      <c r="G17" s="28">
        <f t="shared" si="5"/>
        <v>8.4</v>
      </c>
      <c r="H17" s="28">
        <f t="shared" si="5"/>
        <v>5.6000000000000005</v>
      </c>
      <c r="I17" s="28">
        <f t="shared" si="5"/>
        <v>3.8000000000000003</v>
      </c>
      <c r="J17" s="28">
        <f t="shared" si="5"/>
        <v>2.5</v>
      </c>
      <c r="K17" s="28">
        <f t="shared" si="5"/>
        <v>1.7000000000000002</v>
      </c>
      <c r="L17" s="28">
        <f t="shared" si="5"/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4"/>
        <v>0</v>
      </c>
      <c r="W17" s="28">
        <f t="shared" si="4"/>
        <v>0</v>
      </c>
      <c r="X17" s="28">
        <f t="shared" si="4"/>
        <v>0</v>
      </c>
      <c r="Y17" s="28">
        <f t="shared" si="4"/>
        <v>0</v>
      </c>
      <c r="Z17" s="28">
        <f t="shared" si="4"/>
        <v>0</v>
      </c>
      <c r="AA17" s="28">
        <f t="shared" si="4"/>
        <v>0</v>
      </c>
      <c r="AB17" s="28">
        <f t="shared" si="4"/>
        <v>0</v>
      </c>
      <c r="AC17" s="28">
        <f t="shared" si="4"/>
        <v>0</v>
      </c>
      <c r="AD17" s="28">
        <f t="shared" si="4"/>
        <v>0</v>
      </c>
      <c r="AE17" s="28">
        <f t="shared" si="4"/>
        <v>0</v>
      </c>
      <c r="AF17" s="28">
        <f t="shared" si="4"/>
        <v>0</v>
      </c>
      <c r="AG17" s="28">
        <f t="shared" si="4"/>
        <v>0</v>
      </c>
      <c r="AH17" s="28">
        <f t="shared" si="4"/>
        <v>0</v>
      </c>
      <c r="AI17" s="29">
        <f t="shared" si="4"/>
        <v>0</v>
      </c>
    </row>
    <row r="18" spans="1:35" ht="15" customHeight="1" x14ac:dyDescent="0.25">
      <c r="A18" s="58">
        <v>3</v>
      </c>
      <c r="B18" s="60">
        <v>0.95</v>
      </c>
      <c r="C18" s="16">
        <v>0</v>
      </c>
      <c r="D18" s="67">
        <f>CEILING(1+MIN(Y$15,T$15-C18-1)+MAX((T$15-C18-1-Y$15)/$M$1,0),1)</f>
        <v>16</v>
      </c>
      <c r="E18" s="63">
        <f>MAX(($G$1/($F$1*D18))^(1/(ROUNDUP(D18/3,)-1)),2/3)</f>
        <v>0.66666666666666663</v>
      </c>
      <c r="F18" s="28">
        <f t="shared" si="5"/>
        <v>11.4</v>
      </c>
      <c r="G18" s="28">
        <f t="shared" si="4"/>
        <v>7.6000000000000005</v>
      </c>
      <c r="H18" s="28">
        <f t="shared" si="4"/>
        <v>5.1000000000000005</v>
      </c>
      <c r="I18" s="28">
        <f t="shared" si="4"/>
        <v>3.4000000000000004</v>
      </c>
      <c r="J18" s="28">
        <f t="shared" si="4"/>
        <v>2.3000000000000003</v>
      </c>
      <c r="K18" s="28">
        <f t="shared" si="4"/>
        <v>1.6</v>
      </c>
      <c r="L18" s="28">
        <f t="shared" si="4"/>
        <v>0</v>
      </c>
      <c r="M18" s="28">
        <f t="shared" si="4"/>
        <v>0</v>
      </c>
      <c r="N18" s="28">
        <f t="shared" si="4"/>
        <v>0</v>
      </c>
      <c r="O18" s="28">
        <f t="shared" si="4"/>
        <v>0</v>
      </c>
      <c r="P18" s="28">
        <f t="shared" si="4"/>
        <v>0</v>
      </c>
      <c r="Q18" s="28">
        <f t="shared" si="4"/>
        <v>0</v>
      </c>
      <c r="R18" s="28">
        <f t="shared" si="4"/>
        <v>0</v>
      </c>
      <c r="S18" s="28">
        <f t="shared" si="4"/>
        <v>0</v>
      </c>
      <c r="T18" s="28">
        <f t="shared" si="4"/>
        <v>0</v>
      </c>
      <c r="U18" s="28">
        <f t="shared" si="4"/>
        <v>0</v>
      </c>
      <c r="V18" s="28">
        <f t="shared" si="4"/>
        <v>0</v>
      </c>
      <c r="W18" s="28">
        <f t="shared" si="4"/>
        <v>0</v>
      </c>
      <c r="X18" s="28">
        <f t="shared" si="4"/>
        <v>0</v>
      </c>
      <c r="Y18" s="28">
        <f t="shared" si="4"/>
        <v>0</v>
      </c>
      <c r="Z18" s="28">
        <f t="shared" si="4"/>
        <v>0</v>
      </c>
      <c r="AA18" s="28">
        <f t="shared" si="4"/>
        <v>0</v>
      </c>
      <c r="AB18" s="28">
        <f t="shared" si="4"/>
        <v>0</v>
      </c>
      <c r="AC18" s="28">
        <f t="shared" si="4"/>
        <v>0</v>
      </c>
      <c r="AD18" s="28">
        <f t="shared" si="4"/>
        <v>0</v>
      </c>
      <c r="AE18" s="28">
        <f t="shared" si="4"/>
        <v>0</v>
      </c>
      <c r="AF18" s="28">
        <f t="shared" si="4"/>
        <v>0</v>
      </c>
      <c r="AG18" s="28">
        <f t="shared" si="4"/>
        <v>0</v>
      </c>
      <c r="AH18" s="28">
        <f t="shared" si="4"/>
        <v>0</v>
      </c>
      <c r="AI18" s="29">
        <f t="shared" si="4"/>
        <v>0</v>
      </c>
    </row>
    <row r="19" spans="1:35" ht="15" customHeight="1" x14ac:dyDescent="0.25">
      <c r="A19" s="58">
        <v>4</v>
      </c>
      <c r="B19" s="60">
        <v>0.85</v>
      </c>
      <c r="C19" s="16">
        <v>0</v>
      </c>
      <c r="D19" s="67">
        <f>CEILING(1+MIN(Y$15,T$15-C19-1)+MAX((T$15-C19-1-Y$15)/$M$1,0),1)</f>
        <v>16</v>
      </c>
      <c r="E19" s="63">
        <f>MAX(($G$1/($F$1*D19))^(1/(ROUNDUP(D19/3,)-1)),2/3)</f>
        <v>0.66666666666666663</v>
      </c>
      <c r="F19" s="28">
        <f t="shared" si="5"/>
        <v>10.200000000000001</v>
      </c>
      <c r="G19" s="28">
        <f t="shared" si="4"/>
        <v>6.8000000000000007</v>
      </c>
      <c r="H19" s="28">
        <f t="shared" si="4"/>
        <v>4.6000000000000005</v>
      </c>
      <c r="I19" s="28">
        <f t="shared" si="4"/>
        <v>3.1</v>
      </c>
      <c r="J19" s="28">
        <f t="shared" si="4"/>
        <v>2.1</v>
      </c>
      <c r="K19" s="28">
        <f t="shared" si="4"/>
        <v>0</v>
      </c>
      <c r="L19" s="28">
        <f t="shared" si="4"/>
        <v>0</v>
      </c>
      <c r="M19" s="28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8">
        <f t="shared" si="4"/>
        <v>0</v>
      </c>
      <c r="T19" s="28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8">
        <f t="shared" si="4"/>
        <v>0</v>
      </c>
      <c r="AA19" s="28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8">
        <f t="shared" si="4"/>
        <v>0</v>
      </c>
      <c r="AH19" s="28">
        <f t="shared" si="4"/>
        <v>0</v>
      </c>
      <c r="AI19" s="29">
        <f t="shared" si="4"/>
        <v>0</v>
      </c>
    </row>
    <row r="20" spans="1:35" ht="15" customHeight="1" x14ac:dyDescent="0.25">
      <c r="A20" s="58"/>
      <c r="B20" s="60"/>
      <c r="C20" s="6"/>
      <c r="D20" s="68"/>
      <c r="E20" s="64"/>
      <c r="F20" s="3"/>
      <c r="G20" s="3"/>
      <c r="H20" s="3"/>
      <c r="I20" s="3"/>
      <c r="J20" s="8"/>
      <c r="K20" s="8"/>
      <c r="L20" s="8"/>
      <c r="M20" s="8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4"/>
    </row>
    <row r="21" spans="1:35" ht="15" customHeight="1" x14ac:dyDescent="0.25">
      <c r="A21" s="58"/>
      <c r="B21" s="60"/>
      <c r="C21" s="6"/>
      <c r="D21" s="68"/>
      <c r="E21" s="64"/>
      <c r="F21" s="125" t="s">
        <v>11</v>
      </c>
      <c r="G21" s="112"/>
      <c r="H21" s="112"/>
      <c r="I21" s="25">
        <v>5</v>
      </c>
      <c r="J21" s="113" t="s">
        <v>3</v>
      </c>
      <c r="K21" s="113"/>
      <c r="L21" s="113"/>
      <c r="M21" s="113"/>
      <c r="N21" s="118" t="s">
        <v>5</v>
      </c>
      <c r="O21" s="118"/>
      <c r="P21" s="116" t="s">
        <v>1</v>
      </c>
      <c r="Q21" s="116"/>
      <c r="R21" s="116"/>
      <c r="S21" s="116"/>
      <c r="T21" s="15">
        <v>16</v>
      </c>
      <c r="U21" s="116" t="s">
        <v>2</v>
      </c>
      <c r="V21" s="116"/>
      <c r="W21" s="116"/>
      <c r="X21" s="116"/>
      <c r="Y21" s="15">
        <v>15</v>
      </c>
      <c r="Z21" s="116" t="s">
        <v>4</v>
      </c>
      <c r="AA21" s="116"/>
      <c r="AB21" s="116"/>
      <c r="AC21" s="116"/>
      <c r="AD21" s="15">
        <v>3</v>
      </c>
      <c r="AE21" s="26"/>
      <c r="AF21" s="26"/>
      <c r="AG21" s="26"/>
      <c r="AH21" s="26"/>
      <c r="AI21" s="27"/>
    </row>
    <row r="22" spans="1:35" ht="15" customHeight="1" x14ac:dyDescent="0.25">
      <c r="A22" s="58">
        <v>1</v>
      </c>
      <c r="B22" s="60">
        <v>1.2</v>
      </c>
      <c r="C22" s="16">
        <v>0</v>
      </c>
      <c r="D22" s="67">
        <f>CEILING(1+MIN(Y$21,T$21-C22-1)+MAX((T$21-C22-1-Y$21)/$M$1,0),1)</f>
        <v>16</v>
      </c>
      <c r="E22" s="63">
        <f>MAX(($G$1/($F$1*D22))^(1/(ROUNDUP(D22/3,)-1)),2/3)</f>
        <v>0.66666666666666663</v>
      </c>
      <c r="F22" s="28">
        <f>IF(CEILING($B22*$D22*(1+IF($N$21=$D$1,IF($Y$21*$AD$21&gt;=$K$1,0.4,IF($Y$21*$AD$21&gt;=$J$1,0.2,0)),0))/3,1)&gt;=F$2,CEILING($F$1*IF($Y$21*$AD$21&gt;=$I$1,1,IF($Y$21*$AD$21&gt;=$H$1,0.5,0))*(1+IF($N$21=$D$1,IF($Y$21*$AD$21&gt;=$K$1,0.4,IF($Y$21*$AD$21&gt;=$J$1,0.2,0)),0))*$B22*$D22*$E22^(F$2-1),0.1),0)</f>
        <v>14.4</v>
      </c>
      <c r="G22" s="28">
        <f t="shared" ref="G22:AI26" si="6">IF(CEILING($B22*$D22*(1+IF($N$21=$D$1,IF($Y$21*$AD$21&gt;=$K$1,0.4,IF($Y$21*$AD$21&gt;=$J$1,0.2,0)),0))/3,1)&gt;=G$2,CEILING($F$1*IF($Y$21*$AD$21&gt;=$I$1,1,IF($Y$21*$AD$21&gt;=$H$1,0.5,0))*(1+IF($N$21=$D$1,IF($Y$21*$AD$21&gt;=$K$1,0.4,IF($Y$21*$AD$21&gt;=$J$1,0.2,0)),0))*$B22*$D22*$E22^(G$2-1),0.1),0)</f>
        <v>9.6000000000000014</v>
      </c>
      <c r="H22" s="28">
        <f t="shared" si="6"/>
        <v>6.4</v>
      </c>
      <c r="I22" s="28">
        <f t="shared" si="6"/>
        <v>4.3</v>
      </c>
      <c r="J22" s="28">
        <f t="shared" si="6"/>
        <v>2.9000000000000004</v>
      </c>
      <c r="K22" s="28">
        <f t="shared" si="6"/>
        <v>1.9000000000000001</v>
      </c>
      <c r="L22" s="28">
        <f t="shared" si="6"/>
        <v>1.3</v>
      </c>
      <c r="M22" s="28">
        <f t="shared" si="6"/>
        <v>0</v>
      </c>
      <c r="N22" s="28">
        <f t="shared" si="6"/>
        <v>0</v>
      </c>
      <c r="O22" s="28">
        <f t="shared" si="6"/>
        <v>0</v>
      </c>
      <c r="P22" s="28">
        <f t="shared" si="6"/>
        <v>0</v>
      </c>
      <c r="Q22" s="28">
        <f t="shared" si="6"/>
        <v>0</v>
      </c>
      <c r="R22" s="28">
        <f t="shared" si="6"/>
        <v>0</v>
      </c>
      <c r="S22" s="28">
        <f t="shared" si="6"/>
        <v>0</v>
      </c>
      <c r="T22" s="28">
        <f t="shared" si="6"/>
        <v>0</v>
      </c>
      <c r="U22" s="28">
        <f t="shared" si="6"/>
        <v>0</v>
      </c>
      <c r="V22" s="28">
        <f t="shared" si="6"/>
        <v>0</v>
      </c>
      <c r="W22" s="28">
        <f t="shared" si="6"/>
        <v>0</v>
      </c>
      <c r="X22" s="28">
        <f t="shared" si="6"/>
        <v>0</v>
      </c>
      <c r="Y22" s="28">
        <f t="shared" si="6"/>
        <v>0</v>
      </c>
      <c r="Z22" s="28">
        <f t="shared" si="6"/>
        <v>0</v>
      </c>
      <c r="AA22" s="28">
        <f t="shared" si="6"/>
        <v>0</v>
      </c>
      <c r="AB22" s="28">
        <f t="shared" si="6"/>
        <v>0</v>
      </c>
      <c r="AC22" s="28">
        <f t="shared" si="6"/>
        <v>0</v>
      </c>
      <c r="AD22" s="28">
        <f t="shared" si="6"/>
        <v>0</v>
      </c>
      <c r="AE22" s="28">
        <f t="shared" si="6"/>
        <v>0</v>
      </c>
      <c r="AF22" s="28">
        <f t="shared" si="6"/>
        <v>0</v>
      </c>
      <c r="AG22" s="28">
        <f t="shared" si="6"/>
        <v>0</v>
      </c>
      <c r="AH22" s="28">
        <f t="shared" si="6"/>
        <v>0</v>
      </c>
      <c r="AI22" s="29">
        <f t="shared" si="6"/>
        <v>0</v>
      </c>
    </row>
    <row r="23" spans="1:35" ht="15" customHeight="1" x14ac:dyDescent="0.25">
      <c r="A23" s="58">
        <v>2</v>
      </c>
      <c r="B23" s="60">
        <v>1.1000000000000001</v>
      </c>
      <c r="C23" s="16">
        <v>0</v>
      </c>
      <c r="D23" s="67">
        <f>CEILING(1+MIN(Y$21,T$21-C23-1)+MAX((T$21-C23-1-Y$21)/$M$1,0),1)</f>
        <v>16</v>
      </c>
      <c r="E23" s="63">
        <f>MAX(($G$1/($F$1*D23))^(1/(ROUNDUP(D23/3,)-1)),2/3)</f>
        <v>0.66666666666666663</v>
      </c>
      <c r="F23" s="28">
        <f t="shared" ref="F23:U26" si="7">IF(CEILING($B23*$D23*(1+IF($N$21=$D$1,IF($Y$21*$AD$21&gt;=$K$1,0.4,IF($Y$21*$AD$21&gt;=$J$1,0.2,0)),0))/3,1)&gt;=F$2,CEILING($F$1*IF($Y$21*$AD$21&gt;=$I$1,1,IF($Y$21*$AD$21&gt;=$H$1,0.5,0))*(1+IF($N$21=$D$1,IF($Y$21*$AD$21&gt;=$K$1,0.4,IF($Y$21*$AD$21&gt;=$J$1,0.2,0)),0))*$B23*$D23*$E23^(F$2-1),0.1),0)</f>
        <v>13.200000000000001</v>
      </c>
      <c r="G23" s="28">
        <f t="shared" si="7"/>
        <v>8.8000000000000007</v>
      </c>
      <c r="H23" s="28">
        <f t="shared" si="7"/>
        <v>5.9</v>
      </c>
      <c r="I23" s="28">
        <f t="shared" si="7"/>
        <v>4</v>
      </c>
      <c r="J23" s="28">
        <f t="shared" si="7"/>
        <v>2.7</v>
      </c>
      <c r="K23" s="28">
        <f t="shared" si="7"/>
        <v>1.8</v>
      </c>
      <c r="L23" s="28">
        <f t="shared" si="7"/>
        <v>0</v>
      </c>
      <c r="M23" s="28">
        <f t="shared" si="7"/>
        <v>0</v>
      </c>
      <c r="N23" s="28">
        <f t="shared" si="7"/>
        <v>0</v>
      </c>
      <c r="O23" s="28">
        <f t="shared" si="7"/>
        <v>0</v>
      </c>
      <c r="P23" s="28">
        <f t="shared" si="7"/>
        <v>0</v>
      </c>
      <c r="Q23" s="28">
        <f t="shared" si="7"/>
        <v>0</v>
      </c>
      <c r="R23" s="28">
        <f t="shared" si="7"/>
        <v>0</v>
      </c>
      <c r="S23" s="28">
        <f t="shared" si="7"/>
        <v>0</v>
      </c>
      <c r="T23" s="28">
        <f t="shared" si="7"/>
        <v>0</v>
      </c>
      <c r="U23" s="28">
        <f t="shared" si="7"/>
        <v>0</v>
      </c>
      <c r="V23" s="28">
        <f t="shared" si="6"/>
        <v>0</v>
      </c>
      <c r="W23" s="28">
        <f t="shared" si="6"/>
        <v>0</v>
      </c>
      <c r="X23" s="28">
        <f t="shared" si="6"/>
        <v>0</v>
      </c>
      <c r="Y23" s="28">
        <f t="shared" si="6"/>
        <v>0</v>
      </c>
      <c r="Z23" s="28">
        <f t="shared" si="6"/>
        <v>0</v>
      </c>
      <c r="AA23" s="28">
        <f t="shared" si="6"/>
        <v>0</v>
      </c>
      <c r="AB23" s="28">
        <f t="shared" si="6"/>
        <v>0</v>
      </c>
      <c r="AC23" s="28">
        <f t="shared" si="6"/>
        <v>0</v>
      </c>
      <c r="AD23" s="28">
        <f t="shared" si="6"/>
        <v>0</v>
      </c>
      <c r="AE23" s="28">
        <f t="shared" si="6"/>
        <v>0</v>
      </c>
      <c r="AF23" s="28">
        <f t="shared" si="6"/>
        <v>0</v>
      </c>
      <c r="AG23" s="28">
        <f t="shared" si="6"/>
        <v>0</v>
      </c>
      <c r="AH23" s="28">
        <f t="shared" si="6"/>
        <v>0</v>
      </c>
      <c r="AI23" s="29">
        <f t="shared" si="6"/>
        <v>0</v>
      </c>
    </row>
    <row r="24" spans="1:35" ht="15" customHeight="1" x14ac:dyDescent="0.25">
      <c r="A24" s="58">
        <v>3</v>
      </c>
      <c r="B24" s="60">
        <v>1</v>
      </c>
      <c r="C24" s="16">
        <v>0</v>
      </c>
      <c r="D24" s="67">
        <f>CEILING(1+MIN(Y$21,T$21-C24-1)+MAX((T$21-C24-1-Y$21)/$M$1,0),1)</f>
        <v>16</v>
      </c>
      <c r="E24" s="63">
        <f>MAX(($G$1/($F$1*D24))^(1/(ROUNDUP(D24/3,)-1)),2/3)</f>
        <v>0.66666666666666663</v>
      </c>
      <c r="F24" s="28">
        <f t="shared" si="7"/>
        <v>12</v>
      </c>
      <c r="G24" s="28">
        <f t="shared" si="6"/>
        <v>8</v>
      </c>
      <c r="H24" s="28">
        <f t="shared" si="6"/>
        <v>5.4</v>
      </c>
      <c r="I24" s="28">
        <f t="shared" si="6"/>
        <v>3.6</v>
      </c>
      <c r="J24" s="28">
        <f t="shared" si="6"/>
        <v>2.4000000000000004</v>
      </c>
      <c r="K24" s="28">
        <f t="shared" si="6"/>
        <v>1.6</v>
      </c>
      <c r="L24" s="28">
        <f t="shared" si="6"/>
        <v>0</v>
      </c>
      <c r="M24" s="28">
        <f t="shared" si="6"/>
        <v>0</v>
      </c>
      <c r="N24" s="28">
        <f t="shared" si="6"/>
        <v>0</v>
      </c>
      <c r="O24" s="28">
        <f t="shared" si="6"/>
        <v>0</v>
      </c>
      <c r="P24" s="28">
        <f t="shared" si="6"/>
        <v>0</v>
      </c>
      <c r="Q24" s="28">
        <f t="shared" si="6"/>
        <v>0</v>
      </c>
      <c r="R24" s="28">
        <f t="shared" si="6"/>
        <v>0</v>
      </c>
      <c r="S24" s="28">
        <f t="shared" si="6"/>
        <v>0</v>
      </c>
      <c r="T24" s="28">
        <f t="shared" si="6"/>
        <v>0</v>
      </c>
      <c r="U24" s="28">
        <f t="shared" si="6"/>
        <v>0</v>
      </c>
      <c r="V24" s="28">
        <f t="shared" si="6"/>
        <v>0</v>
      </c>
      <c r="W24" s="28">
        <f t="shared" si="6"/>
        <v>0</v>
      </c>
      <c r="X24" s="28">
        <f t="shared" si="6"/>
        <v>0</v>
      </c>
      <c r="Y24" s="28">
        <f t="shared" si="6"/>
        <v>0</v>
      </c>
      <c r="Z24" s="28">
        <f t="shared" si="6"/>
        <v>0</v>
      </c>
      <c r="AA24" s="28">
        <f t="shared" si="6"/>
        <v>0</v>
      </c>
      <c r="AB24" s="28">
        <f t="shared" si="6"/>
        <v>0</v>
      </c>
      <c r="AC24" s="28">
        <f t="shared" si="6"/>
        <v>0</v>
      </c>
      <c r="AD24" s="28">
        <f t="shared" si="6"/>
        <v>0</v>
      </c>
      <c r="AE24" s="28">
        <f t="shared" si="6"/>
        <v>0</v>
      </c>
      <c r="AF24" s="28">
        <f t="shared" si="6"/>
        <v>0</v>
      </c>
      <c r="AG24" s="28">
        <f t="shared" si="6"/>
        <v>0</v>
      </c>
      <c r="AH24" s="28">
        <f t="shared" si="6"/>
        <v>0</v>
      </c>
      <c r="AI24" s="29">
        <f t="shared" si="6"/>
        <v>0</v>
      </c>
    </row>
    <row r="25" spans="1:35" ht="15" customHeight="1" x14ac:dyDescent="0.25">
      <c r="A25" s="58">
        <v>4</v>
      </c>
      <c r="B25" s="60">
        <v>0.9</v>
      </c>
      <c r="C25" s="16">
        <v>0</v>
      </c>
      <c r="D25" s="67">
        <f>CEILING(1+MIN(Y$21,T$21-C25-1)+MAX((T$21-C25-1-Y$21)/$M$1,0),1)</f>
        <v>16</v>
      </c>
      <c r="E25" s="63">
        <f>MAX(($G$1/($F$1*D25))^(1/(ROUNDUP(D25/3,)-1)),2/3)</f>
        <v>0.66666666666666663</v>
      </c>
      <c r="F25" s="28">
        <f t="shared" si="7"/>
        <v>10.8</v>
      </c>
      <c r="G25" s="28">
        <f t="shared" si="6"/>
        <v>7.2</v>
      </c>
      <c r="H25" s="28">
        <f t="shared" si="6"/>
        <v>4.8000000000000007</v>
      </c>
      <c r="I25" s="28">
        <f t="shared" si="6"/>
        <v>3.2</v>
      </c>
      <c r="J25" s="28">
        <f t="shared" si="6"/>
        <v>2.2000000000000002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8">
        <f t="shared" si="6"/>
        <v>0</v>
      </c>
      <c r="Q25" s="28">
        <f t="shared" si="6"/>
        <v>0</v>
      </c>
      <c r="R25" s="28">
        <f t="shared" si="6"/>
        <v>0</v>
      </c>
      <c r="S25" s="28">
        <f t="shared" si="6"/>
        <v>0</v>
      </c>
      <c r="T25" s="28">
        <f t="shared" si="6"/>
        <v>0</v>
      </c>
      <c r="U25" s="28">
        <f t="shared" si="6"/>
        <v>0</v>
      </c>
      <c r="V25" s="28">
        <f t="shared" si="6"/>
        <v>0</v>
      </c>
      <c r="W25" s="28">
        <f t="shared" si="6"/>
        <v>0</v>
      </c>
      <c r="X25" s="28">
        <f t="shared" si="6"/>
        <v>0</v>
      </c>
      <c r="Y25" s="28">
        <f t="shared" si="6"/>
        <v>0</v>
      </c>
      <c r="Z25" s="28">
        <f t="shared" si="6"/>
        <v>0</v>
      </c>
      <c r="AA25" s="28">
        <f t="shared" si="6"/>
        <v>0</v>
      </c>
      <c r="AB25" s="28">
        <f t="shared" si="6"/>
        <v>0</v>
      </c>
      <c r="AC25" s="28">
        <f t="shared" si="6"/>
        <v>0</v>
      </c>
      <c r="AD25" s="28">
        <f t="shared" si="6"/>
        <v>0</v>
      </c>
      <c r="AE25" s="28">
        <f t="shared" si="6"/>
        <v>0</v>
      </c>
      <c r="AF25" s="28">
        <f t="shared" si="6"/>
        <v>0</v>
      </c>
      <c r="AG25" s="28">
        <f t="shared" si="6"/>
        <v>0</v>
      </c>
      <c r="AH25" s="28">
        <f t="shared" si="6"/>
        <v>0</v>
      </c>
      <c r="AI25" s="29">
        <f t="shared" si="6"/>
        <v>0</v>
      </c>
    </row>
    <row r="26" spans="1:35" ht="15" customHeight="1" x14ac:dyDescent="0.25">
      <c r="A26" s="59">
        <v>5</v>
      </c>
      <c r="B26" s="61">
        <v>0.8</v>
      </c>
      <c r="C26" s="17">
        <v>0</v>
      </c>
      <c r="D26" s="69">
        <f>CEILING(1+MIN(Y$21,T$21-C26-1)+MAX((T$21-C26-1-Y$21)/$M$1,0),1)</f>
        <v>16</v>
      </c>
      <c r="E26" s="65">
        <f>MAX(($G$1/($F$1*D26))^(1/(ROUNDUP(D26/3,)-1)),2/3)</f>
        <v>0.66666666666666663</v>
      </c>
      <c r="F26" s="28">
        <f t="shared" si="7"/>
        <v>9.6000000000000014</v>
      </c>
      <c r="G26" s="28">
        <f t="shared" si="6"/>
        <v>6.4</v>
      </c>
      <c r="H26" s="28">
        <f t="shared" si="6"/>
        <v>4.3</v>
      </c>
      <c r="I26" s="28">
        <f t="shared" si="6"/>
        <v>2.9000000000000004</v>
      </c>
      <c r="J26" s="28">
        <f t="shared" si="6"/>
        <v>1.9000000000000001</v>
      </c>
      <c r="K26" s="28">
        <f t="shared" si="6"/>
        <v>0</v>
      </c>
      <c r="L26" s="28">
        <f t="shared" si="6"/>
        <v>0</v>
      </c>
      <c r="M26" s="28">
        <f t="shared" si="6"/>
        <v>0</v>
      </c>
      <c r="N26" s="28">
        <f t="shared" si="6"/>
        <v>0</v>
      </c>
      <c r="O26" s="28">
        <f t="shared" si="6"/>
        <v>0</v>
      </c>
      <c r="P26" s="28">
        <f t="shared" si="6"/>
        <v>0</v>
      </c>
      <c r="Q26" s="28">
        <f t="shared" si="6"/>
        <v>0</v>
      </c>
      <c r="R26" s="28">
        <f t="shared" si="6"/>
        <v>0</v>
      </c>
      <c r="S26" s="28">
        <f t="shared" si="6"/>
        <v>0</v>
      </c>
      <c r="T26" s="28">
        <f t="shared" si="6"/>
        <v>0</v>
      </c>
      <c r="U26" s="28">
        <f t="shared" si="6"/>
        <v>0</v>
      </c>
      <c r="V26" s="28">
        <f t="shared" si="6"/>
        <v>0</v>
      </c>
      <c r="W26" s="28">
        <f t="shared" si="6"/>
        <v>0</v>
      </c>
      <c r="X26" s="28">
        <f t="shared" si="6"/>
        <v>0</v>
      </c>
      <c r="Y26" s="28">
        <f t="shared" si="6"/>
        <v>0</v>
      </c>
      <c r="Z26" s="28">
        <f t="shared" si="6"/>
        <v>0</v>
      </c>
      <c r="AA26" s="28">
        <f t="shared" si="6"/>
        <v>0</v>
      </c>
      <c r="AB26" s="28">
        <f t="shared" si="6"/>
        <v>0</v>
      </c>
      <c r="AC26" s="28">
        <f t="shared" si="6"/>
        <v>0</v>
      </c>
      <c r="AD26" s="28">
        <f t="shared" si="6"/>
        <v>0</v>
      </c>
      <c r="AE26" s="28">
        <f t="shared" si="6"/>
        <v>0</v>
      </c>
      <c r="AF26" s="28">
        <f t="shared" si="6"/>
        <v>0</v>
      </c>
      <c r="AG26" s="28">
        <f t="shared" si="6"/>
        <v>0</v>
      </c>
      <c r="AH26" s="28">
        <f t="shared" si="6"/>
        <v>0</v>
      </c>
      <c r="AI26" s="29">
        <f t="shared" si="6"/>
        <v>0</v>
      </c>
    </row>
    <row r="27" spans="1:35" ht="15" customHeight="1" x14ac:dyDescent="0.25">
      <c r="A27" s="12"/>
      <c r="B27" s="9"/>
      <c r="C27" s="9"/>
      <c r="D27" s="9"/>
      <c r="E27" s="9"/>
      <c r="F27" s="9"/>
      <c r="G27" s="9"/>
      <c r="H27" s="9"/>
      <c r="I27" s="9"/>
      <c r="J27" s="10"/>
      <c r="K27" s="10"/>
      <c r="L27" s="10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1"/>
    </row>
    <row r="28" spans="1:35" ht="15" customHeight="1" x14ac:dyDescent="0.25">
      <c r="A28" s="14" t="s">
        <v>14</v>
      </c>
    </row>
    <row r="29" spans="1:35" ht="15" customHeight="1" x14ac:dyDescent="0.25">
      <c r="C29" s="119" t="s">
        <v>15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</row>
    <row r="30" spans="1:35" ht="15" customHeight="1" x14ac:dyDescent="0.25">
      <c r="C30" s="104" t="s">
        <v>22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</row>
    <row r="31" spans="1:35" ht="15" customHeight="1" x14ac:dyDescent="0.25">
      <c r="C31" s="104" t="s">
        <v>21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</row>
    <row r="32" spans="1:35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51" spans="1:4" x14ac:dyDescent="0.25">
      <c r="A51" s="1"/>
      <c r="B51" s="1"/>
      <c r="D51" s="14"/>
    </row>
    <row r="52" spans="1:4" x14ac:dyDescent="0.25">
      <c r="C52" s="2"/>
      <c r="D52" s="14"/>
    </row>
  </sheetData>
  <sheetProtection password="C4EE" sheet="1" objects="1" scenarios="1"/>
  <mergeCells count="38">
    <mergeCell ref="N1:X1"/>
    <mergeCell ref="C29:AH29"/>
    <mergeCell ref="C30:AH30"/>
    <mergeCell ref="C31:AH31"/>
    <mergeCell ref="F21:H21"/>
    <mergeCell ref="J21:M21"/>
    <mergeCell ref="N21:O21"/>
    <mergeCell ref="P21:S21"/>
    <mergeCell ref="U21:X21"/>
    <mergeCell ref="Z21:AC21"/>
    <mergeCell ref="F15:H15"/>
    <mergeCell ref="J15:M15"/>
    <mergeCell ref="N15:O15"/>
    <mergeCell ref="P15:S15"/>
    <mergeCell ref="U15:X15"/>
    <mergeCell ref="Z15:AC15"/>
    <mergeCell ref="U3:X3"/>
    <mergeCell ref="F10:H10"/>
    <mergeCell ref="J10:M10"/>
    <mergeCell ref="N10:O10"/>
    <mergeCell ref="P10:S10"/>
    <mergeCell ref="U10:X10"/>
    <mergeCell ref="C32:AH32"/>
    <mergeCell ref="A2:B2"/>
    <mergeCell ref="A3:B3"/>
    <mergeCell ref="C2:D2"/>
    <mergeCell ref="F3:H3"/>
    <mergeCell ref="J3:M3"/>
    <mergeCell ref="N3:O3"/>
    <mergeCell ref="P3:S3"/>
    <mergeCell ref="Z10:AC10"/>
    <mergeCell ref="Z3:AC3"/>
    <mergeCell ref="F6:H6"/>
    <mergeCell ref="J6:M6"/>
    <mergeCell ref="N6:O6"/>
    <mergeCell ref="P6:S6"/>
    <mergeCell ref="U6:X6"/>
    <mergeCell ref="Z6:AC6"/>
  </mergeCells>
  <conditionalFormatting sqref="F4:AI4">
    <cfRule type="cellIs" dxfId="54" priority="6" operator="equal">
      <formula>0</formula>
    </cfRule>
  </conditionalFormatting>
  <conditionalFormatting sqref="F7:AI8">
    <cfRule type="cellIs" dxfId="53" priority="5" operator="equal">
      <formula>0</formula>
    </cfRule>
  </conditionalFormatting>
  <conditionalFormatting sqref="F11:AI13">
    <cfRule type="cellIs" dxfId="52" priority="4" operator="equal">
      <formula>0</formula>
    </cfRule>
  </conditionalFormatting>
  <conditionalFormatting sqref="F16:AI19">
    <cfRule type="cellIs" dxfId="51" priority="3" operator="equal">
      <formula>0</formula>
    </cfRule>
  </conditionalFormatting>
  <conditionalFormatting sqref="F22:AI26">
    <cfRule type="cellIs" dxfId="50" priority="2" operator="equal">
      <formula>0</formula>
    </cfRule>
  </conditionalFormatting>
  <dataValidations count="6">
    <dataValidation allowBlank="1" showInputMessage="1" showErrorMessage="1" promptTitle="Q-værdi" prompt="Andelen af MP for den næste af to placeringer." sqref="E4 E7:E8 E11:E13 E16:E19 E22:E26"/>
    <dataValidation type="whole" operator="greaterThan" allowBlank="1" showInputMessage="1" showErrorMessage="1" errorTitle="Fejl" error="Kun postive heltal" sqref="AD21 Y21 AD6 AD15 AD3 Y15 Y10 Y6 AD10 Y3">
      <formula1>0</formula1>
    </dataValidation>
    <dataValidation allowBlank="1" showInputMessage="1" showErrorMessage="1" promptTitle="&quot;dnul&quot;" prompt="Det beregnede antal deltagere" sqref="D4 D7:D8 D11:D13 D16:D19 D22:D26"/>
    <dataValidation type="whole" operator="greaterThanOrEqual" allowBlank="1" showInputMessage="1" showErrorMessage="1" errorTitle="Fejl" error="Kun postive heltal" promptTitle="Minimum" prompt="Mindst 8 deltagere" sqref="T3 T6 T10 T15 T21">
      <formula1>8</formula1>
    </dataValidation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type="list" showInputMessage="1" showErrorMessage="1" errorTitle="Arrangør" error="Enten Klub eller Distrikt" promptTitle="Arrangør" prompt="Kun distrikter (ikke klubber) kan lægge 20% eller 40% til." sqref="N3:O3 N21:O21 N15:O15 N10:O10 N6:O6">
      <formula1>$C$1:$D$1</formula1>
    </dataValidation>
  </dataValidations>
  <printOptions horizontalCentered="1"/>
  <pageMargins left="0.31496062992125984" right="0.31496062992125984" top="1.7322834645669292" bottom="0.74803149606299213" header="0.31496062992125984" footer="0.31496062992125984"/>
  <pageSetup paperSize="9" scale="87" orientation="landscape" horizontalDpi="4294967295" verticalDpi="4294967295" r:id="rId1"/>
  <headerFooter>
    <oddHeader>&amp;L&amp;G&amp;C&amp;20Sølvpoint i enkeltmandsturneringer&amp;RVersion 1.0</oddHeader>
    <oddFooter>&amp;CUdskrevet: 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zoomScaleNormal="100" workbookViewId="0">
      <selection activeCell="N3" sqref="N3:O3"/>
    </sheetView>
  </sheetViews>
  <sheetFormatPr defaultRowHeight="15" x14ac:dyDescent="0.25"/>
  <cols>
    <col min="1" max="1" width="2.28515625" style="14" customWidth="1"/>
    <col min="2" max="2" width="5.28515625" style="57" customWidth="1"/>
    <col min="3" max="3" width="5.7109375" style="1" customWidth="1"/>
    <col min="4" max="4" width="4.7109375" style="13" customWidth="1"/>
    <col min="5" max="5" width="9.140625" style="14" customWidth="1"/>
    <col min="6" max="7" width="5.7109375" style="33" customWidth="1"/>
    <col min="8" max="13" width="4.7109375" style="33" customWidth="1"/>
    <col min="14" max="35" width="4.28515625" style="33" customWidth="1"/>
    <col min="36" max="16384" width="9.140625" style="14"/>
  </cols>
  <sheetData>
    <row r="1" spans="1:35" x14ac:dyDescent="0.25">
      <c r="A1" s="20">
        <v>0</v>
      </c>
      <c r="B1" s="20">
        <v>1</v>
      </c>
      <c r="C1" s="18" t="s">
        <v>5</v>
      </c>
      <c r="D1" s="19" t="s">
        <v>23</v>
      </c>
      <c r="E1" s="19" t="s">
        <v>23</v>
      </c>
      <c r="F1" s="55">
        <v>7.4999999999999997E-2</v>
      </c>
      <c r="G1" s="52">
        <v>0.01</v>
      </c>
      <c r="H1" s="53">
        <v>54</v>
      </c>
      <c r="I1" s="53">
        <v>54</v>
      </c>
      <c r="J1" s="53">
        <v>100</v>
      </c>
      <c r="K1" s="53">
        <v>150</v>
      </c>
      <c r="L1" s="53">
        <v>0</v>
      </c>
      <c r="M1" s="53">
        <v>2</v>
      </c>
      <c r="N1" s="136" t="s">
        <v>29</v>
      </c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pans="1:35" x14ac:dyDescent="0.25">
      <c r="A2" s="105" t="s">
        <v>8</v>
      </c>
      <c r="B2" s="106"/>
      <c r="C2" s="110" t="s">
        <v>9</v>
      </c>
      <c r="D2" s="111"/>
      <c r="E2" s="22" t="s">
        <v>25</v>
      </c>
      <c r="F2" s="34">
        <v>1</v>
      </c>
      <c r="G2" s="34">
        <v>2</v>
      </c>
      <c r="H2" s="34">
        <v>3</v>
      </c>
      <c r="I2" s="34">
        <v>4</v>
      </c>
      <c r="J2" s="34">
        <v>5</v>
      </c>
      <c r="K2" s="34">
        <v>6</v>
      </c>
      <c r="L2" s="34">
        <v>7</v>
      </c>
      <c r="M2" s="34">
        <v>8</v>
      </c>
      <c r="N2" s="34">
        <v>9</v>
      </c>
      <c r="O2" s="34">
        <v>10</v>
      </c>
      <c r="P2" s="34">
        <v>11</v>
      </c>
      <c r="Q2" s="34">
        <v>12</v>
      </c>
      <c r="R2" s="34">
        <v>13</v>
      </c>
      <c r="S2" s="34">
        <v>14</v>
      </c>
      <c r="T2" s="34">
        <v>15</v>
      </c>
      <c r="U2" s="34">
        <v>16</v>
      </c>
      <c r="V2" s="34">
        <v>17</v>
      </c>
      <c r="W2" s="34">
        <v>18</v>
      </c>
      <c r="X2" s="34">
        <v>19</v>
      </c>
      <c r="Y2" s="34">
        <v>20</v>
      </c>
      <c r="Z2" s="34">
        <v>21</v>
      </c>
      <c r="AA2" s="34">
        <v>22</v>
      </c>
      <c r="AB2" s="34">
        <v>23</v>
      </c>
      <c r="AC2" s="34">
        <v>24</v>
      </c>
      <c r="AD2" s="34">
        <v>25</v>
      </c>
      <c r="AE2" s="34">
        <v>26</v>
      </c>
      <c r="AF2" s="34">
        <v>27</v>
      </c>
      <c r="AG2" s="34">
        <v>28</v>
      </c>
      <c r="AH2" s="34">
        <v>29</v>
      </c>
      <c r="AI2" s="35">
        <v>30</v>
      </c>
    </row>
    <row r="3" spans="1:35" x14ac:dyDescent="0.25">
      <c r="A3" s="107" t="s">
        <v>7</v>
      </c>
      <c r="B3" s="108"/>
      <c r="C3" s="5" t="s">
        <v>10</v>
      </c>
      <c r="D3" s="7" t="s">
        <v>33</v>
      </c>
      <c r="E3" s="62" t="s">
        <v>12</v>
      </c>
      <c r="F3" s="127" t="s">
        <v>11</v>
      </c>
      <c r="G3" s="128"/>
      <c r="H3" s="128"/>
      <c r="I3" s="36">
        <v>1</v>
      </c>
      <c r="J3" s="129" t="s">
        <v>3</v>
      </c>
      <c r="K3" s="129"/>
      <c r="L3" s="129"/>
      <c r="M3" s="129"/>
      <c r="N3" s="130" t="s">
        <v>5</v>
      </c>
      <c r="O3" s="130"/>
      <c r="P3" s="131" t="s">
        <v>1</v>
      </c>
      <c r="Q3" s="131"/>
      <c r="R3" s="131"/>
      <c r="S3" s="131"/>
      <c r="T3" s="15">
        <v>20</v>
      </c>
      <c r="U3" s="131" t="s">
        <v>2</v>
      </c>
      <c r="V3" s="131"/>
      <c r="W3" s="131"/>
      <c r="X3" s="131"/>
      <c r="Y3" s="15">
        <v>19</v>
      </c>
      <c r="Z3" s="131" t="s">
        <v>4</v>
      </c>
      <c r="AA3" s="131"/>
      <c r="AB3" s="131"/>
      <c r="AC3" s="131"/>
      <c r="AD3" s="15">
        <v>3</v>
      </c>
      <c r="AE3" s="37"/>
      <c r="AF3" s="37"/>
      <c r="AG3" s="37"/>
      <c r="AH3" s="37"/>
      <c r="AI3" s="38"/>
    </row>
    <row r="4" spans="1:35" x14ac:dyDescent="0.25">
      <c r="A4" s="58">
        <v>1</v>
      </c>
      <c r="B4" s="60">
        <v>1</v>
      </c>
      <c r="C4" s="16">
        <v>0</v>
      </c>
      <c r="D4" s="67">
        <f>CEILING(1+MIN(Y$3,T$3-C4-1)+MAX((T$3-C4-1-Y$3)/$M$1,0),1)</f>
        <v>20</v>
      </c>
      <c r="E4" s="63">
        <f>MAX(($G$1/($F$1*D4))^(1/(ROUNDUP(D4/3,)-1)),2/3)</f>
        <v>0.66666666666666663</v>
      </c>
      <c r="F4" s="39">
        <f>IF(CEILING($B4*$D4/3,1)&gt;=F$2,CEILING($F$1*IF($Y$3*$AD$3&gt;=$I$1,1,IF($Y$3*$AD$3&gt;=$H$1,0.5,0))*(1+IF($N$3=$D$1,IF($Y$3*$AD$3&gt;=$K$1,0.4,IF($Y$3*$AD$3&gt;=$J$1,0.2,0)),0))*$B4*$D4*$E4^(F$2-1),0.01),0)</f>
        <v>1.5</v>
      </c>
      <c r="G4" s="39">
        <f>IF(CEILING($B4*$D4/3,1)&gt;=G$2,CEILING($F$1*IF($Y$3*$AD$3&gt;=$I$1,1,IF($Y$3*$AD$3&gt;=$H$1,0.5,0))*(1+IF($N$3=$D$1,IF($Y$3*$AD$3&gt;=$K$1,0.4,IF($Y$3*$AD$3&gt;=$J$1,0.2,0)),0))*$B4*$D4*$E4^(G$2-1),0.01),0)</f>
        <v>1</v>
      </c>
      <c r="H4" s="39">
        <f>IF(CEILING($B4*$D4/3,1)&gt;=H$2,CEILING($F$1*IF($Y$3*$AD$3&gt;=$I$1,1,IF($Y$3*$AD$3&gt;=$H$1,0.5,0))*(1+IF($N$3=$D$1,IF($Y$3*$AD$3&gt;=$K$1,0.4,IF($Y$3*$AD$3&gt;=$J$1,0.2,0)),0))*$B4*$D4*$E4^(H$2-1),0.01),0)</f>
        <v>0.67</v>
      </c>
      <c r="I4" s="39">
        <f>IF(CEILING($B4*$D4/3,1)&gt;=I$2,CEILING($F$1*IF($Y$3*$AD$3&gt;=$I$1,1,IF($Y$3*$AD$3&gt;=$H$1,0.5,0))*(1+IF($N$3=$D$1,IF($Y$3*$AD$3&gt;=$K$1,0.4,IF($Y$3*$AD$3&gt;=$J$1,0.2,0)),0))*$B4*$D4*$E4^(I$2-1),0.01),0)</f>
        <v>0.45</v>
      </c>
      <c r="J4" s="39">
        <f>IF(CEILING($B4*$D4/3,1)&gt;=J$2,CEILING($F$1*IF($Y$3*$AD$3&gt;=$I$1,1,IF($Y$3*$AD$3&gt;=$H$1,0.5,0))*(1+IF($N$3=$D$1,IF($Y$3*$AD$3&gt;=$K$1,0.4,IF($Y$3*$AD$3&gt;=$J$1,0.2,0)),0))*$B4*$D4*$E4^(J$2-1),0.01),0)</f>
        <v>0.3</v>
      </c>
      <c r="K4" s="39">
        <f>IF(CEILING($B4*$D4/3,1)&gt;=K$2,CEILING($F$1*IF($Y$3*$AD$3&gt;=$I$1,1,IF($Y$3*$AD$3&gt;=$H$1,0.5,0))*(1+IF($N$3=$D$1,IF($Y$3*$AD$3&gt;=$K$1,0.4,IF($Y$3*$AD$3&gt;=$J$1,0.2,0)),0))*$B4*$D4*$E4^(K$2-1),0.01),0)</f>
        <v>0.2</v>
      </c>
      <c r="L4" s="39">
        <f>IF(CEILING($B4*$D4/3,1)&gt;=L$2,CEILING($F$1*IF($Y$3*$AD$3&gt;=$I$1,1,IF($Y$3*$AD$3&gt;=$H$1,0.5,0))*(1+IF($N$3=$D$1,IF($Y$3*$AD$3&gt;=$K$1,0.4,IF($Y$3*$AD$3&gt;=$J$1,0.2,0)),0))*$B4*$D4*$E4^(L$2-1),0.01),0)</f>
        <v>0.14000000000000001</v>
      </c>
      <c r="M4" s="39">
        <f>IF(CEILING($B4*$D4/3,1)&gt;=M$2,CEILING($F$1*IF($Y$3*$AD$3&gt;=$I$1,1,IF($Y$3*$AD$3&gt;=$H$1,0.5,0))*(1+IF($N$3=$D$1,IF($Y$3*$AD$3&gt;=$K$1,0.4,IF($Y$3*$AD$3&gt;=$J$1,0.2,0)),0))*$B4*$D4*$E4^(M$2-1),0.01),0)</f>
        <v>0</v>
      </c>
      <c r="N4" s="39">
        <f>IF(CEILING($B4*$D4/3,1)&gt;=N$2,CEILING($F$1*IF($Y$3*$AD$3&gt;=$I$1,1,IF($Y$3*$AD$3&gt;=$H$1,0.5,0))*(1+IF($N$3=$D$1,IF($Y$3*$AD$3&gt;=$K$1,0.4,IF($Y$3*$AD$3&gt;=$J$1,0.2,0)),0))*$B4*$D4*$E4^(N$2-1),0.01),0)</f>
        <v>0</v>
      </c>
      <c r="O4" s="39">
        <f>IF(CEILING($B4*$D4/3,1)&gt;=O$2,CEILING($F$1*IF($Y$3*$AD$3&gt;=$I$1,1,IF($Y$3*$AD$3&gt;=$H$1,0.5,0))*(1+IF($N$3=$D$1,IF($Y$3*$AD$3&gt;=$K$1,0.4,IF($Y$3*$AD$3&gt;=$J$1,0.2,0)),0))*$B4*$D4*$E4^(O$2-1),0.01),0)</f>
        <v>0</v>
      </c>
      <c r="P4" s="39">
        <f>IF(CEILING($B4*$D4/3,1)&gt;=P$2,CEILING($F$1*IF($Y$3*$AD$3&gt;=$I$1,1,IF($Y$3*$AD$3&gt;=$H$1,0.5,0))*(1+IF($N$3=$D$1,IF($Y$3*$AD$3&gt;=$K$1,0.4,IF($Y$3*$AD$3&gt;=$J$1,0.2,0)),0))*$B4*$D4*$E4^(P$2-1),0.01),0)</f>
        <v>0</v>
      </c>
      <c r="Q4" s="39">
        <f>IF(CEILING($B4*$D4/3,1)&gt;=Q$2,CEILING($F$1*IF($Y$3*$AD$3&gt;=$I$1,1,IF($Y$3*$AD$3&gt;=$H$1,0.5,0))*(1+IF($N$3=$D$1,IF($Y$3*$AD$3&gt;=$K$1,0.4,IF($Y$3*$AD$3&gt;=$J$1,0.2,0)),0))*$B4*$D4*$E4^(Q$2-1),0.01),0)</f>
        <v>0</v>
      </c>
      <c r="R4" s="39">
        <f>IF(CEILING($B4*$D4/3,1)&gt;=R$2,CEILING($F$1*IF($Y$3*$AD$3&gt;=$I$1,1,IF($Y$3*$AD$3&gt;=$H$1,0.5,0))*(1+IF($N$3=$D$1,IF($Y$3*$AD$3&gt;=$K$1,0.4,IF($Y$3*$AD$3&gt;=$J$1,0.2,0)),0))*$B4*$D4*$E4^(R$2-1),0.01),0)</f>
        <v>0</v>
      </c>
      <c r="S4" s="39">
        <f>IF(CEILING($B4*$D4/3,1)&gt;=S$2,CEILING($F$1*IF($Y$3*$AD$3&gt;=$I$1,1,IF($Y$3*$AD$3&gt;=$H$1,0.5,0))*(1+IF($N$3=$D$1,IF($Y$3*$AD$3&gt;=$K$1,0.4,IF($Y$3*$AD$3&gt;=$J$1,0.2,0)),0))*$B4*$D4*$E4^(S$2-1),0.01),0)</f>
        <v>0</v>
      </c>
      <c r="T4" s="39">
        <f>IF(CEILING($B4*$D4/3,1)&gt;=T$2,CEILING($F$1*IF($Y$3*$AD$3&gt;=$I$1,1,IF($Y$3*$AD$3&gt;=$H$1,0.5,0))*(1+IF($N$3=$D$1,IF($Y$3*$AD$3&gt;=$K$1,0.4,IF($Y$3*$AD$3&gt;=$J$1,0.2,0)),0))*$B4*$D4*$E4^(T$2-1),0.01),0)</f>
        <v>0</v>
      </c>
      <c r="U4" s="39">
        <f>IF(CEILING($B4*$D4/3,1)&gt;=U$2,CEILING($F$1*IF($Y$3*$AD$3&gt;=$I$1,1,IF($Y$3*$AD$3&gt;=$H$1,0.5,0))*(1+IF($N$3=$D$1,IF($Y$3*$AD$3&gt;=$K$1,0.4,IF($Y$3*$AD$3&gt;=$J$1,0.2,0)),0))*$B4*$D4*$E4^(U$2-1),0.01),0)</f>
        <v>0</v>
      </c>
      <c r="V4" s="39">
        <f>IF(CEILING($B4*$D4/3,1)&gt;=V$2,CEILING($F$1*IF($Y$3*$AD$3&gt;=$I$1,1,IF($Y$3*$AD$3&gt;=$H$1,0.5,0))*(1+IF($N$3=$D$1,IF($Y$3*$AD$3&gt;=$K$1,0.4,IF($Y$3*$AD$3&gt;=$J$1,0.2,0)),0))*$B4*$D4*$E4^(V$2-1),0.01),0)</f>
        <v>0</v>
      </c>
      <c r="W4" s="39">
        <f>IF(CEILING($B4*$D4/3,1)&gt;=W$2,CEILING($F$1*IF($Y$3*$AD$3&gt;=$I$1,1,IF($Y$3*$AD$3&gt;=$H$1,0.5,0))*(1+IF($N$3=$D$1,IF($Y$3*$AD$3&gt;=$K$1,0.4,IF($Y$3*$AD$3&gt;=$J$1,0.2,0)),0))*$B4*$D4*$E4^(W$2-1),0.01),0)</f>
        <v>0</v>
      </c>
      <c r="X4" s="39">
        <f>IF(CEILING($B4*$D4/3,1)&gt;=X$2,CEILING($F$1*IF($Y$3*$AD$3&gt;=$I$1,1,IF($Y$3*$AD$3&gt;=$H$1,0.5,0))*(1+IF($N$3=$D$1,IF($Y$3*$AD$3&gt;=$K$1,0.4,IF($Y$3*$AD$3&gt;=$J$1,0.2,0)),0))*$B4*$D4*$E4^(X$2-1),0.01),0)</f>
        <v>0</v>
      </c>
      <c r="Y4" s="39">
        <f>IF(CEILING($B4*$D4/3,1)&gt;=Y$2,CEILING($F$1*IF($Y$3*$AD$3&gt;=$I$1,1,IF($Y$3*$AD$3&gt;=$H$1,0.5,0))*(1+IF($N$3=$D$1,IF($Y$3*$AD$3&gt;=$K$1,0.4,IF($Y$3*$AD$3&gt;=$J$1,0.2,0)),0))*$B4*$D4*$E4^(Y$2-1),0.01),0)</f>
        <v>0</v>
      </c>
      <c r="Z4" s="39">
        <f>IF(CEILING($B4*$D4/3,1)&gt;=Z$2,CEILING($F$1*IF($Y$3*$AD$3&gt;=$I$1,1,IF($Y$3*$AD$3&gt;=$H$1,0.5,0))*(1+IF($N$3=$D$1,IF($Y$3*$AD$3&gt;=$K$1,0.4,IF($Y$3*$AD$3&gt;=$J$1,0.2,0)),0))*$B4*$D4*$E4^(Z$2-1),0.01),0)</f>
        <v>0</v>
      </c>
      <c r="AA4" s="39">
        <f>IF(CEILING($B4*$D4/3,1)&gt;=AA$2,CEILING($F$1*IF($Y$3*$AD$3&gt;=$I$1,1,IF($Y$3*$AD$3&gt;=$H$1,0.5,0))*(1+IF($N$3=$D$1,IF($Y$3*$AD$3&gt;=$K$1,0.4,IF($Y$3*$AD$3&gt;=$J$1,0.2,0)),0))*$B4*$D4*$E4^(AA$2-1),0.01),0)</f>
        <v>0</v>
      </c>
      <c r="AB4" s="39">
        <f>IF(CEILING($B4*$D4/3,1)&gt;=AB$2,CEILING($F$1*IF($Y$3*$AD$3&gt;=$I$1,1,IF($Y$3*$AD$3&gt;=$H$1,0.5,0))*(1+IF($N$3=$D$1,IF($Y$3*$AD$3&gt;=$K$1,0.4,IF($Y$3*$AD$3&gt;=$J$1,0.2,0)),0))*$B4*$D4*$E4^(AB$2-1),0.01),0)</f>
        <v>0</v>
      </c>
      <c r="AC4" s="39">
        <f>IF(CEILING($B4*$D4/3,1)&gt;=AC$2,CEILING($F$1*IF($Y$3*$AD$3&gt;=$I$1,1,IF($Y$3*$AD$3&gt;=$H$1,0.5,0))*(1+IF($N$3=$D$1,IF($Y$3*$AD$3&gt;=$K$1,0.4,IF($Y$3*$AD$3&gt;=$J$1,0.2,0)),0))*$B4*$D4*$E4^(AC$2-1),0.01),0)</f>
        <v>0</v>
      </c>
      <c r="AD4" s="39">
        <f>IF(CEILING($B4*$D4/3,1)&gt;=AD$2,CEILING($F$1*IF($Y$3*$AD$3&gt;=$I$1,1,IF($Y$3*$AD$3&gt;=$H$1,0.5,0))*(1+IF($N$3=$D$1,IF($Y$3*$AD$3&gt;=$K$1,0.4,IF($Y$3*$AD$3&gt;=$J$1,0.2,0)),0))*$B4*$D4*$E4^(AD$2-1),0.01),0)</f>
        <v>0</v>
      </c>
      <c r="AE4" s="39">
        <f>IF(CEILING($B4*$D4/3,1)&gt;=AE$2,CEILING($F$1*IF($Y$3*$AD$3&gt;=$I$1,1,IF($Y$3*$AD$3&gt;=$H$1,0.5,0))*(1+IF($N$3=$D$1,IF($Y$3*$AD$3&gt;=$K$1,0.4,IF($Y$3*$AD$3&gt;=$J$1,0.2,0)),0))*$B4*$D4*$E4^(AE$2-1),0.01),0)</f>
        <v>0</v>
      </c>
      <c r="AF4" s="39">
        <f>IF(CEILING($B4*$D4/3,1)&gt;=AF$2,CEILING($F$1*IF($Y$3*$AD$3&gt;=$I$1,1,IF($Y$3*$AD$3&gt;=$H$1,0.5,0))*(1+IF($N$3=$D$1,IF($Y$3*$AD$3&gt;=$K$1,0.4,IF($Y$3*$AD$3&gt;=$J$1,0.2,0)),0))*$B4*$D4*$E4^(AF$2-1),0.01),0)</f>
        <v>0</v>
      </c>
      <c r="AG4" s="39">
        <f>IF(CEILING($B4*$D4/3,1)&gt;=AG$2,CEILING($F$1*IF($Y$3*$AD$3&gt;=$I$1,1,IF($Y$3*$AD$3&gt;=$H$1,0.5,0))*(1+IF($N$3=$D$1,IF($Y$3*$AD$3&gt;=$K$1,0.4,IF($Y$3*$AD$3&gt;=$J$1,0.2,0)),0))*$B4*$D4*$E4^(AG$2-1),0.01),0)</f>
        <v>0</v>
      </c>
      <c r="AH4" s="39">
        <f>IF(CEILING($B4*$D4/3,1)&gt;=AH$2,CEILING($F$1*IF($Y$3*$AD$3&gt;=$I$1,1,IF($Y$3*$AD$3&gt;=$H$1,0.5,0))*(1+IF($N$3=$D$1,IF($Y$3*$AD$3&gt;=$K$1,0.4,IF($Y$3*$AD$3&gt;=$J$1,0.2,0)),0))*$B4*$D4*$E4^(AH$2-1),0.01),0)</f>
        <v>0</v>
      </c>
      <c r="AI4" s="40">
        <f>IF(CEILING($B4*$D4/3,1)&gt;=AI$2,CEILING($F$1*IF($Y$3*$AD$3&gt;=$I$1,1,IF($Y$3*$AD$3&gt;=$H$1,0.5,0))*(1+IF($N$3=$D$1,IF($Y$3*$AD$3&gt;=$K$1,0.4,IF($Y$3*$AD$3&gt;=$J$1,0.2,0)),0))*$B4*$D4*$E4^(AI$2-1),0.01),0)</f>
        <v>0</v>
      </c>
    </row>
    <row r="5" spans="1:35" x14ac:dyDescent="0.25">
      <c r="A5" s="58"/>
      <c r="B5" s="60"/>
      <c r="C5" s="6"/>
      <c r="D5" s="68"/>
      <c r="E5" s="64"/>
      <c r="F5" s="41"/>
      <c r="G5" s="41"/>
      <c r="H5" s="41"/>
      <c r="I5" s="41"/>
      <c r="J5" s="42"/>
      <c r="K5" s="42"/>
      <c r="L5" s="42"/>
      <c r="M5" s="42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3"/>
    </row>
    <row r="6" spans="1:35" x14ac:dyDescent="0.25">
      <c r="A6" s="58"/>
      <c r="B6" s="60"/>
      <c r="C6" s="6"/>
      <c r="D6" s="68"/>
      <c r="E6" s="64"/>
      <c r="F6" s="133" t="s">
        <v>11</v>
      </c>
      <c r="G6" s="134"/>
      <c r="H6" s="134"/>
      <c r="I6" s="36">
        <v>2</v>
      </c>
      <c r="J6" s="135" t="s">
        <v>3</v>
      </c>
      <c r="K6" s="135"/>
      <c r="L6" s="135"/>
      <c r="M6" s="135"/>
      <c r="N6" s="130" t="s">
        <v>5</v>
      </c>
      <c r="O6" s="130"/>
      <c r="P6" s="132" t="s">
        <v>1</v>
      </c>
      <c r="Q6" s="132"/>
      <c r="R6" s="132"/>
      <c r="S6" s="132"/>
      <c r="T6" s="15">
        <v>20</v>
      </c>
      <c r="U6" s="132" t="s">
        <v>2</v>
      </c>
      <c r="V6" s="132"/>
      <c r="W6" s="132"/>
      <c r="X6" s="132"/>
      <c r="Y6" s="15">
        <v>19</v>
      </c>
      <c r="Z6" s="132" t="s">
        <v>4</v>
      </c>
      <c r="AA6" s="132"/>
      <c r="AB6" s="132"/>
      <c r="AC6" s="132"/>
      <c r="AD6" s="15">
        <v>3</v>
      </c>
      <c r="AE6" s="37"/>
      <c r="AF6" s="37"/>
      <c r="AG6" s="37"/>
      <c r="AH6" s="37"/>
      <c r="AI6" s="38"/>
    </row>
    <row r="7" spans="1:35" x14ac:dyDescent="0.25">
      <c r="A7" s="58">
        <v>1</v>
      </c>
      <c r="B7" s="60">
        <v>1.1000000000000001</v>
      </c>
      <c r="C7" s="16">
        <v>0</v>
      </c>
      <c r="D7" s="67">
        <f>CEILING(1+MIN(Y$6,T$6-C7-1)+MAX((T$6-C7-1-Y$6)/$M$1,0),1)</f>
        <v>20</v>
      </c>
      <c r="E7" s="63">
        <f>MAX(($G$1/($F$1*D7))^(1/(ROUNDUP(D7/3,)-1)),2/3)</f>
        <v>0.66666666666666663</v>
      </c>
      <c r="F7" s="39">
        <f>IF(CEILING($B7*$D7/3,1)&gt;=F$2,CEILING($F$1*IF($Y$6*$AD$6&gt;=$I$1,1,IF($Y$6*$AD$6&gt;=$H$1,0.5,0))*(1+IF($N$6=$D$1,IF($Y$6*$AD$6&gt;=$K$1,0.4,IF($Y$6*$AD$6&gt;=$J$1,0.2,0)),0))*$B7*$D7*$E7^(F$2-1),0.01),0)</f>
        <v>1.6500000000000001</v>
      </c>
      <c r="G7" s="39">
        <f>IF(CEILING($B7*$D7/3,1)&gt;=G$2,CEILING($F$1*IF($Y$6*$AD$6&gt;=$I$1,1,IF($Y$6*$AD$6&gt;=$H$1,0.5,0))*(1+IF($N$6=$D$1,IF($Y$6*$AD$6&gt;=$K$1,0.4,IF($Y$6*$AD$6&gt;=$J$1,0.2,0)),0))*$B7*$D7*$E7^(G$2-1),0.01),0)</f>
        <v>1.1000000000000001</v>
      </c>
      <c r="H7" s="39">
        <f>IF(CEILING($B7*$D7/3,1)&gt;=H$2,CEILING($F$1*IF($Y$6*$AD$6&gt;=$I$1,1,IF($Y$6*$AD$6&gt;=$H$1,0.5,0))*(1+IF($N$6=$D$1,IF($Y$6*$AD$6&gt;=$K$1,0.4,IF($Y$6*$AD$6&gt;=$J$1,0.2,0)),0))*$B7*$D7*$E7^(H$2-1),0.01),0)</f>
        <v>0.74</v>
      </c>
      <c r="I7" s="39">
        <f>IF(CEILING($B7*$D7/3,1)&gt;=I$2,CEILING($F$1*IF($Y$6*$AD$6&gt;=$I$1,1,IF($Y$6*$AD$6&gt;=$H$1,0.5,0))*(1+IF($N$6=$D$1,IF($Y$6*$AD$6&gt;=$K$1,0.4,IF($Y$6*$AD$6&gt;=$J$1,0.2,0)),0))*$B7*$D7*$E7^(I$2-1),0.01),0)</f>
        <v>0.49</v>
      </c>
      <c r="J7" s="39">
        <f>IF(CEILING($B7*$D7/3,1)&gt;=J$2,CEILING($F$1*IF($Y$6*$AD$6&gt;=$I$1,1,IF($Y$6*$AD$6&gt;=$H$1,0.5,0))*(1+IF($N$6=$D$1,IF($Y$6*$AD$6&gt;=$K$1,0.4,IF($Y$6*$AD$6&gt;=$J$1,0.2,0)),0))*$B7*$D7*$E7^(J$2-1),0.01),0)</f>
        <v>0.33</v>
      </c>
      <c r="K7" s="39">
        <f>IF(CEILING($B7*$D7/3,1)&gt;=K$2,CEILING($F$1*IF($Y$6*$AD$6&gt;=$I$1,1,IF($Y$6*$AD$6&gt;=$H$1,0.5,0))*(1+IF($N$6=$D$1,IF($Y$6*$AD$6&gt;=$K$1,0.4,IF($Y$6*$AD$6&gt;=$J$1,0.2,0)),0))*$B7*$D7*$E7^(K$2-1),0.01),0)</f>
        <v>0.22</v>
      </c>
      <c r="L7" s="39">
        <f>IF(CEILING($B7*$D7/3,1)&gt;=L$2,CEILING($F$1*IF($Y$6*$AD$6&gt;=$I$1,1,IF($Y$6*$AD$6&gt;=$H$1,0.5,0))*(1+IF($N$6=$D$1,IF($Y$6*$AD$6&gt;=$K$1,0.4,IF($Y$6*$AD$6&gt;=$J$1,0.2,0)),0))*$B7*$D7*$E7^(L$2-1),0.01),0)</f>
        <v>0.15</v>
      </c>
      <c r="M7" s="39">
        <f>IF(CEILING($B7*$D7/3,1)&gt;=M$2,CEILING($F$1*IF($Y$6*$AD$6&gt;=$I$1,1,IF($Y$6*$AD$6&gt;=$H$1,0.5,0))*(1+IF($N$6=$D$1,IF($Y$6*$AD$6&gt;=$K$1,0.4,IF($Y$6*$AD$6&gt;=$J$1,0.2,0)),0))*$B7*$D7*$E7^(M$2-1),0.01),0)</f>
        <v>0.1</v>
      </c>
      <c r="N7" s="39">
        <f>IF(CEILING($B7*$D7/3,1)&gt;=N$2,CEILING($F$1*IF($Y$6*$AD$6&gt;=$I$1,1,IF($Y$6*$AD$6&gt;=$H$1,0.5,0))*(1+IF($N$6=$D$1,IF($Y$6*$AD$6&gt;=$K$1,0.4,IF($Y$6*$AD$6&gt;=$J$1,0.2,0)),0))*$B7*$D7*$E7^(N$2-1),0.01),0)</f>
        <v>0</v>
      </c>
      <c r="O7" s="39">
        <f>IF(CEILING($B7*$D7/3,1)&gt;=O$2,CEILING($F$1*IF($Y$6*$AD$6&gt;=$I$1,1,IF($Y$6*$AD$6&gt;=$H$1,0.5,0))*(1+IF($N$6=$D$1,IF($Y$6*$AD$6&gt;=$K$1,0.4,IF($Y$6*$AD$6&gt;=$J$1,0.2,0)),0))*$B7*$D7*$E7^(O$2-1),0.01),0)</f>
        <v>0</v>
      </c>
      <c r="P7" s="39">
        <f>IF(CEILING($B7*$D7/3,1)&gt;=P$2,CEILING($F$1*IF($Y$6*$AD$6&gt;=$I$1,1,IF($Y$6*$AD$6&gt;=$H$1,0.5,0))*(1+IF($N$6=$D$1,IF($Y$6*$AD$6&gt;=$K$1,0.4,IF($Y$6*$AD$6&gt;=$J$1,0.2,0)),0))*$B7*$D7*$E7^(P$2-1),0.01),0)</f>
        <v>0</v>
      </c>
      <c r="Q7" s="39">
        <f>IF(CEILING($B7*$D7/3,1)&gt;=Q$2,CEILING($F$1*IF($Y$6*$AD$6&gt;=$I$1,1,IF($Y$6*$AD$6&gt;=$H$1,0.5,0))*(1+IF($N$6=$D$1,IF($Y$6*$AD$6&gt;=$K$1,0.4,IF($Y$6*$AD$6&gt;=$J$1,0.2,0)),0))*$B7*$D7*$E7^(Q$2-1),0.01),0)</f>
        <v>0</v>
      </c>
      <c r="R7" s="39">
        <f>IF(CEILING($B7*$D7/3,1)&gt;=R$2,CEILING($F$1*IF($Y$6*$AD$6&gt;=$I$1,1,IF($Y$6*$AD$6&gt;=$H$1,0.5,0))*(1+IF($N$6=$D$1,IF($Y$6*$AD$6&gt;=$K$1,0.4,IF($Y$6*$AD$6&gt;=$J$1,0.2,0)),0))*$B7*$D7*$E7^(R$2-1),0.01),0)</f>
        <v>0</v>
      </c>
      <c r="S7" s="39">
        <f>IF(CEILING($B7*$D7/3,1)&gt;=S$2,CEILING($F$1*IF($Y$6*$AD$6&gt;=$I$1,1,IF($Y$6*$AD$6&gt;=$H$1,0.5,0))*(1+IF($N$6=$D$1,IF($Y$6*$AD$6&gt;=$K$1,0.4,IF($Y$6*$AD$6&gt;=$J$1,0.2,0)),0))*$B7*$D7*$E7^(S$2-1),0.01),0)</f>
        <v>0</v>
      </c>
      <c r="T7" s="39">
        <f>IF(CEILING($B7*$D7/3,1)&gt;=T$2,CEILING($F$1*IF($Y$6*$AD$6&gt;=$I$1,1,IF($Y$6*$AD$6&gt;=$H$1,0.5,0))*(1+IF($N$6=$D$1,IF($Y$6*$AD$6&gt;=$K$1,0.4,IF($Y$6*$AD$6&gt;=$J$1,0.2,0)),0))*$B7*$D7*$E7^(T$2-1),0.01),0)</f>
        <v>0</v>
      </c>
      <c r="U7" s="39">
        <f>IF(CEILING($B7*$D7/3,1)&gt;=U$2,CEILING($F$1*IF($Y$6*$AD$6&gt;=$I$1,1,IF($Y$6*$AD$6&gt;=$H$1,0.5,0))*(1+IF($N$6=$D$1,IF($Y$6*$AD$6&gt;=$K$1,0.4,IF($Y$6*$AD$6&gt;=$J$1,0.2,0)),0))*$B7*$D7*$E7^(U$2-1),0.01),0)</f>
        <v>0</v>
      </c>
      <c r="V7" s="39">
        <f>IF(CEILING($B7*$D7/3,1)&gt;=V$2,CEILING($F$1*IF($Y$6*$AD$6&gt;=$I$1,1,IF($Y$6*$AD$6&gt;=$H$1,0.5,0))*(1+IF($N$6=$D$1,IF($Y$6*$AD$6&gt;=$K$1,0.4,IF($Y$6*$AD$6&gt;=$J$1,0.2,0)),0))*$B7*$D7*$E7^(V$2-1),0.01),0)</f>
        <v>0</v>
      </c>
      <c r="W7" s="39">
        <f>IF(CEILING($B7*$D7/3,1)&gt;=W$2,CEILING($F$1*IF($Y$6*$AD$6&gt;=$I$1,1,IF($Y$6*$AD$6&gt;=$H$1,0.5,0))*(1+IF($N$6=$D$1,IF($Y$6*$AD$6&gt;=$K$1,0.4,IF($Y$6*$AD$6&gt;=$J$1,0.2,0)),0))*$B7*$D7*$E7^(W$2-1),0.01),0)</f>
        <v>0</v>
      </c>
      <c r="X7" s="39">
        <f>IF(CEILING($B7*$D7/3,1)&gt;=X$2,CEILING($F$1*IF($Y$6*$AD$6&gt;=$I$1,1,IF($Y$6*$AD$6&gt;=$H$1,0.5,0))*(1+IF($N$6=$D$1,IF($Y$6*$AD$6&gt;=$K$1,0.4,IF($Y$6*$AD$6&gt;=$J$1,0.2,0)),0))*$B7*$D7*$E7^(X$2-1),0.01),0)</f>
        <v>0</v>
      </c>
      <c r="Y7" s="39">
        <f>IF(CEILING($B7*$D7/3,1)&gt;=Y$2,CEILING($F$1*IF($Y$6*$AD$6&gt;=$I$1,1,IF($Y$6*$AD$6&gt;=$H$1,0.5,0))*(1+IF($N$6=$D$1,IF($Y$6*$AD$6&gt;=$K$1,0.4,IF($Y$6*$AD$6&gt;=$J$1,0.2,0)),0))*$B7*$D7*$E7^(Y$2-1),0.01),0)</f>
        <v>0</v>
      </c>
      <c r="Z7" s="39">
        <f>IF(CEILING($B7*$D7/3,1)&gt;=Z$2,CEILING($F$1*IF($Y$6*$AD$6&gt;=$I$1,1,IF($Y$6*$AD$6&gt;=$H$1,0.5,0))*(1+IF($N$6=$D$1,IF($Y$6*$AD$6&gt;=$K$1,0.4,IF($Y$6*$AD$6&gt;=$J$1,0.2,0)),0))*$B7*$D7*$E7^(Z$2-1),0.01),0)</f>
        <v>0</v>
      </c>
      <c r="AA7" s="39">
        <f>IF(CEILING($B7*$D7/3,1)&gt;=AA$2,CEILING($F$1*IF($Y$6*$AD$6&gt;=$I$1,1,IF($Y$6*$AD$6&gt;=$H$1,0.5,0))*(1+IF($N$6=$D$1,IF($Y$6*$AD$6&gt;=$K$1,0.4,IF($Y$6*$AD$6&gt;=$J$1,0.2,0)),0))*$B7*$D7*$E7^(AA$2-1),0.01),0)</f>
        <v>0</v>
      </c>
      <c r="AB7" s="39">
        <f>IF(CEILING($B7*$D7/3,1)&gt;=AB$2,CEILING($F$1*IF($Y$6*$AD$6&gt;=$I$1,1,IF($Y$6*$AD$6&gt;=$H$1,0.5,0))*(1+IF($N$6=$D$1,IF($Y$6*$AD$6&gt;=$K$1,0.4,IF($Y$6*$AD$6&gt;=$J$1,0.2,0)),0))*$B7*$D7*$E7^(AB$2-1),0.01),0)</f>
        <v>0</v>
      </c>
      <c r="AC7" s="39">
        <f>IF(CEILING($B7*$D7/3,1)&gt;=AC$2,CEILING($F$1*IF($Y$6*$AD$6&gt;=$I$1,1,IF($Y$6*$AD$6&gt;=$H$1,0.5,0))*(1+IF($N$6=$D$1,IF($Y$6*$AD$6&gt;=$K$1,0.4,IF($Y$6*$AD$6&gt;=$J$1,0.2,0)),0))*$B7*$D7*$E7^(AC$2-1),0.01),0)</f>
        <v>0</v>
      </c>
      <c r="AD7" s="39">
        <f>IF(CEILING($B7*$D7/3,1)&gt;=AD$2,CEILING($F$1*IF($Y$6*$AD$6&gt;=$I$1,1,IF($Y$6*$AD$6&gt;=$H$1,0.5,0))*(1+IF($N$6=$D$1,IF($Y$6*$AD$6&gt;=$K$1,0.4,IF($Y$6*$AD$6&gt;=$J$1,0.2,0)),0))*$B7*$D7*$E7^(AD$2-1),0.01),0)</f>
        <v>0</v>
      </c>
      <c r="AE7" s="39">
        <f>IF(CEILING($B7*$D7/3,1)&gt;=AE$2,CEILING($F$1*IF($Y$6*$AD$6&gt;=$I$1,1,IF($Y$6*$AD$6&gt;=$H$1,0.5,0))*(1+IF($N$6=$D$1,IF($Y$6*$AD$6&gt;=$K$1,0.4,IF($Y$6*$AD$6&gt;=$J$1,0.2,0)),0))*$B7*$D7*$E7^(AE$2-1),0.01),0)</f>
        <v>0</v>
      </c>
      <c r="AF7" s="39">
        <f>IF(CEILING($B7*$D7/3,1)&gt;=AF$2,CEILING($F$1*IF($Y$6*$AD$6&gt;=$I$1,1,IF($Y$6*$AD$6&gt;=$H$1,0.5,0))*(1+IF($N$6=$D$1,IF($Y$6*$AD$6&gt;=$K$1,0.4,IF($Y$6*$AD$6&gt;=$J$1,0.2,0)),0))*$B7*$D7*$E7^(AF$2-1),0.01),0)</f>
        <v>0</v>
      </c>
      <c r="AG7" s="39">
        <f>IF(CEILING($B7*$D7/3,1)&gt;=AG$2,CEILING($F$1*IF($Y$6*$AD$6&gt;=$I$1,1,IF($Y$6*$AD$6&gt;=$H$1,0.5,0))*(1+IF($N$6=$D$1,IF($Y$6*$AD$6&gt;=$K$1,0.4,IF($Y$6*$AD$6&gt;=$J$1,0.2,0)),0))*$B7*$D7*$E7^(AG$2-1),0.01),0)</f>
        <v>0</v>
      </c>
      <c r="AH7" s="39">
        <f>IF(CEILING($B7*$D7/3,1)&gt;=AH$2,CEILING($F$1*IF($Y$6*$AD$6&gt;=$I$1,1,IF($Y$6*$AD$6&gt;=$H$1,0.5,0))*(1+IF($N$6=$D$1,IF($Y$6*$AD$6&gt;=$K$1,0.4,IF($Y$6*$AD$6&gt;=$J$1,0.2,0)),0))*$B7*$D7*$E7^(AH$2-1),0.01),0)</f>
        <v>0</v>
      </c>
      <c r="AI7" s="40">
        <f>IF(CEILING($B7*$D7/3,1)&gt;=AI$2,CEILING($F$1*IF($Y$6*$AD$6&gt;=$I$1,1,IF($Y$6*$AD$6&gt;=$H$1,0.5,0))*(1+IF($N$6=$D$1,IF($Y$6*$AD$6&gt;=$K$1,0.4,IF($Y$6*$AD$6&gt;=$J$1,0.2,0)),0))*$B7*$D7*$E7^(AI$2-1),0.01),0)</f>
        <v>0</v>
      </c>
    </row>
    <row r="8" spans="1:35" x14ac:dyDescent="0.25">
      <c r="A8" s="58">
        <v>2</v>
      </c>
      <c r="B8" s="60">
        <v>0.9</v>
      </c>
      <c r="C8" s="16">
        <v>0</v>
      </c>
      <c r="D8" s="67">
        <f>CEILING(1+MIN(Y$6,T$6-C8-1)+MAX((T$6-C8-1-Y$6)/$M$1,0),1)</f>
        <v>20</v>
      </c>
      <c r="E8" s="63">
        <f>MAX(($G$1/($F$1*D8))^(1/(ROUNDUP(D8/3,)-1)),2/3)</f>
        <v>0.66666666666666663</v>
      </c>
      <c r="F8" s="39">
        <f>IF(CEILING($B8*$D8/3,1)&gt;=F$2,CEILING($F$1*IF($Y$6*$AD$6&gt;=$I$1,1,IF($Y$6*$AD$6&gt;=$H$1,0.5,0))*(1+IF($N$6=$D$1,IF($Y$6*$AD$6&gt;=$K$1,0.4,IF($Y$6*$AD$6&gt;=$J$1,0.2,0)),0))*$B8*$D8*$E8^(F$2-1),0.01),0)</f>
        <v>1.35</v>
      </c>
      <c r="G8" s="39">
        <f>IF(CEILING($B8*$D8/3,1)&gt;=G$2,CEILING($F$1*IF($Y$6*$AD$6&gt;=$I$1,1,IF($Y$6*$AD$6&gt;=$H$1,0.5,0))*(1+IF($N$6=$D$1,IF($Y$6*$AD$6&gt;=$K$1,0.4,IF($Y$6*$AD$6&gt;=$J$1,0.2,0)),0))*$B8*$D8*$E8^(G$2-1),0.01),0)</f>
        <v>0.9</v>
      </c>
      <c r="H8" s="39">
        <f>IF(CEILING($B8*$D8/3,1)&gt;=H$2,CEILING($F$1*IF($Y$6*$AD$6&gt;=$I$1,1,IF($Y$6*$AD$6&gt;=$H$1,0.5,0))*(1+IF($N$6=$D$1,IF($Y$6*$AD$6&gt;=$K$1,0.4,IF($Y$6*$AD$6&gt;=$J$1,0.2,0)),0))*$B8*$D8*$E8^(H$2-1),0.01),0)</f>
        <v>0.6</v>
      </c>
      <c r="I8" s="39">
        <f>IF(CEILING($B8*$D8/3,1)&gt;=I$2,CEILING($F$1*IF($Y$6*$AD$6&gt;=$I$1,1,IF($Y$6*$AD$6&gt;=$H$1,0.5,0))*(1+IF($N$6=$D$1,IF($Y$6*$AD$6&gt;=$K$1,0.4,IF($Y$6*$AD$6&gt;=$J$1,0.2,0)),0))*$B8*$D8*$E8^(I$2-1),0.01),0)</f>
        <v>0.4</v>
      </c>
      <c r="J8" s="39">
        <f>IF(CEILING($B8*$D8/3,1)&gt;=J$2,CEILING($F$1*IF($Y$6*$AD$6&gt;=$I$1,1,IF($Y$6*$AD$6&gt;=$H$1,0.5,0))*(1+IF($N$6=$D$1,IF($Y$6*$AD$6&gt;=$K$1,0.4,IF($Y$6*$AD$6&gt;=$J$1,0.2,0)),0))*$B8*$D8*$E8^(J$2-1),0.01),0)</f>
        <v>0.27</v>
      </c>
      <c r="K8" s="39">
        <f>IF(CEILING($B8*$D8/3,1)&gt;=K$2,CEILING($F$1*IF($Y$6*$AD$6&gt;=$I$1,1,IF($Y$6*$AD$6&gt;=$H$1,0.5,0))*(1+IF($N$6=$D$1,IF($Y$6*$AD$6&gt;=$K$1,0.4,IF($Y$6*$AD$6&gt;=$J$1,0.2,0)),0))*$B8*$D8*$E8^(K$2-1),0.01),0)</f>
        <v>0.18</v>
      </c>
      <c r="L8" s="39">
        <f>IF(CEILING($B8*$D8/3,1)&gt;=L$2,CEILING($F$1*IF($Y$6*$AD$6&gt;=$I$1,1,IF($Y$6*$AD$6&gt;=$H$1,0.5,0))*(1+IF($N$6=$D$1,IF($Y$6*$AD$6&gt;=$K$1,0.4,IF($Y$6*$AD$6&gt;=$J$1,0.2,0)),0))*$B8*$D8*$E8^(L$2-1),0.01),0)</f>
        <v>0</v>
      </c>
      <c r="M8" s="39">
        <f>IF(CEILING($B8*$D8/3,1)&gt;=M$2,CEILING($F$1*IF($Y$6*$AD$6&gt;=$I$1,1,IF($Y$6*$AD$6&gt;=$H$1,0.5,0))*(1+IF($N$6=$D$1,IF($Y$6*$AD$6&gt;=$K$1,0.4,IF($Y$6*$AD$6&gt;=$J$1,0.2,0)),0))*$B8*$D8*$E8^(M$2-1),0.01),0)</f>
        <v>0</v>
      </c>
      <c r="N8" s="39">
        <f>IF(CEILING($B8*$D8/3,1)&gt;=N$2,CEILING($F$1*IF($Y$6*$AD$6&gt;=$I$1,1,IF($Y$6*$AD$6&gt;=$H$1,0.5,0))*(1+IF($N$6=$D$1,IF($Y$6*$AD$6&gt;=$K$1,0.4,IF($Y$6*$AD$6&gt;=$J$1,0.2,0)),0))*$B8*$D8*$E8^(N$2-1),0.01),0)</f>
        <v>0</v>
      </c>
      <c r="O8" s="39">
        <f>IF(CEILING($B8*$D8/3,1)&gt;=O$2,CEILING($F$1*IF($Y$6*$AD$6&gt;=$I$1,1,IF($Y$6*$AD$6&gt;=$H$1,0.5,0))*(1+IF($N$6=$D$1,IF($Y$6*$AD$6&gt;=$K$1,0.4,IF($Y$6*$AD$6&gt;=$J$1,0.2,0)),0))*$B8*$D8*$E8^(O$2-1),0.01),0)</f>
        <v>0</v>
      </c>
      <c r="P8" s="39">
        <f>IF(CEILING($B8*$D8/3,1)&gt;=P$2,CEILING($F$1*IF($Y$6*$AD$6&gt;=$I$1,1,IF($Y$6*$AD$6&gt;=$H$1,0.5,0))*(1+IF($N$6=$D$1,IF($Y$6*$AD$6&gt;=$K$1,0.4,IF($Y$6*$AD$6&gt;=$J$1,0.2,0)),0))*$B8*$D8*$E8^(P$2-1),0.01),0)</f>
        <v>0</v>
      </c>
      <c r="Q8" s="39">
        <f>IF(CEILING($B8*$D8/3,1)&gt;=Q$2,CEILING($F$1*IF($Y$6*$AD$6&gt;=$I$1,1,IF($Y$6*$AD$6&gt;=$H$1,0.5,0))*(1+IF($N$6=$D$1,IF($Y$6*$AD$6&gt;=$K$1,0.4,IF($Y$6*$AD$6&gt;=$J$1,0.2,0)),0))*$B8*$D8*$E8^(Q$2-1),0.01),0)</f>
        <v>0</v>
      </c>
      <c r="R8" s="39">
        <f>IF(CEILING($B8*$D8/3,1)&gt;=R$2,CEILING($F$1*IF($Y$6*$AD$6&gt;=$I$1,1,IF($Y$6*$AD$6&gt;=$H$1,0.5,0))*(1+IF($N$6=$D$1,IF($Y$6*$AD$6&gt;=$K$1,0.4,IF($Y$6*$AD$6&gt;=$J$1,0.2,0)),0))*$B8*$D8*$E8^(R$2-1),0.01),0)</f>
        <v>0</v>
      </c>
      <c r="S8" s="39">
        <f>IF(CEILING($B8*$D8/3,1)&gt;=S$2,CEILING($F$1*IF($Y$6*$AD$6&gt;=$I$1,1,IF($Y$6*$AD$6&gt;=$H$1,0.5,0))*(1+IF($N$6=$D$1,IF($Y$6*$AD$6&gt;=$K$1,0.4,IF($Y$6*$AD$6&gt;=$J$1,0.2,0)),0))*$B8*$D8*$E8^(S$2-1),0.01),0)</f>
        <v>0</v>
      </c>
      <c r="T8" s="39">
        <f>IF(CEILING($B8*$D8/3,1)&gt;=T$2,CEILING($F$1*IF($Y$6*$AD$6&gt;=$I$1,1,IF($Y$6*$AD$6&gt;=$H$1,0.5,0))*(1+IF($N$6=$D$1,IF($Y$6*$AD$6&gt;=$K$1,0.4,IF($Y$6*$AD$6&gt;=$J$1,0.2,0)),0))*$B8*$D8*$E8^(T$2-1),0.01),0)</f>
        <v>0</v>
      </c>
      <c r="U8" s="39">
        <f>IF(CEILING($B8*$D8/3,1)&gt;=U$2,CEILING($F$1*IF($Y$6*$AD$6&gt;=$I$1,1,IF($Y$6*$AD$6&gt;=$H$1,0.5,0))*(1+IF($N$6=$D$1,IF($Y$6*$AD$6&gt;=$K$1,0.4,IF($Y$6*$AD$6&gt;=$J$1,0.2,0)),0))*$B8*$D8*$E8^(U$2-1),0.01),0)</f>
        <v>0</v>
      </c>
      <c r="V8" s="39">
        <f>IF(CEILING($B8*$D8/3,1)&gt;=V$2,CEILING($F$1*IF($Y$6*$AD$6&gt;=$I$1,1,IF($Y$6*$AD$6&gt;=$H$1,0.5,0))*(1+IF($N$6=$D$1,IF($Y$6*$AD$6&gt;=$K$1,0.4,IF($Y$6*$AD$6&gt;=$J$1,0.2,0)),0))*$B8*$D8*$E8^(V$2-1),0.01),0)</f>
        <v>0</v>
      </c>
      <c r="W8" s="39">
        <f>IF(CEILING($B8*$D8/3,1)&gt;=W$2,CEILING($F$1*IF($Y$6*$AD$6&gt;=$I$1,1,IF($Y$6*$AD$6&gt;=$H$1,0.5,0))*(1+IF($N$6=$D$1,IF($Y$6*$AD$6&gt;=$K$1,0.4,IF($Y$6*$AD$6&gt;=$J$1,0.2,0)),0))*$B8*$D8*$E8^(W$2-1),0.01),0)</f>
        <v>0</v>
      </c>
      <c r="X8" s="39">
        <f>IF(CEILING($B8*$D8/3,1)&gt;=X$2,CEILING($F$1*IF($Y$6*$AD$6&gt;=$I$1,1,IF($Y$6*$AD$6&gt;=$H$1,0.5,0))*(1+IF($N$6=$D$1,IF($Y$6*$AD$6&gt;=$K$1,0.4,IF($Y$6*$AD$6&gt;=$J$1,0.2,0)),0))*$B8*$D8*$E8^(X$2-1),0.01),0)</f>
        <v>0</v>
      </c>
      <c r="Y8" s="39">
        <f>IF(CEILING($B8*$D8/3,1)&gt;=Y$2,CEILING($F$1*IF($Y$6*$AD$6&gt;=$I$1,1,IF($Y$6*$AD$6&gt;=$H$1,0.5,0))*(1+IF($N$6=$D$1,IF($Y$6*$AD$6&gt;=$K$1,0.4,IF($Y$6*$AD$6&gt;=$J$1,0.2,0)),0))*$B8*$D8*$E8^(Y$2-1),0.01),0)</f>
        <v>0</v>
      </c>
      <c r="Z8" s="39">
        <f>IF(CEILING($B8*$D8/3,1)&gt;=Z$2,CEILING($F$1*IF($Y$6*$AD$6&gt;=$I$1,1,IF($Y$6*$AD$6&gt;=$H$1,0.5,0))*(1+IF($N$6=$D$1,IF($Y$6*$AD$6&gt;=$K$1,0.4,IF($Y$6*$AD$6&gt;=$J$1,0.2,0)),0))*$B8*$D8*$E8^(Z$2-1),0.01),0)</f>
        <v>0</v>
      </c>
      <c r="AA8" s="39">
        <f>IF(CEILING($B8*$D8/3,1)&gt;=AA$2,CEILING($F$1*IF($Y$6*$AD$6&gt;=$I$1,1,IF($Y$6*$AD$6&gt;=$H$1,0.5,0))*(1+IF($N$6=$D$1,IF($Y$6*$AD$6&gt;=$K$1,0.4,IF($Y$6*$AD$6&gt;=$J$1,0.2,0)),0))*$B8*$D8*$E8^(AA$2-1),0.01),0)</f>
        <v>0</v>
      </c>
      <c r="AB8" s="39">
        <f>IF(CEILING($B8*$D8/3,1)&gt;=AB$2,CEILING($F$1*IF($Y$6*$AD$6&gt;=$I$1,1,IF($Y$6*$AD$6&gt;=$H$1,0.5,0))*(1+IF($N$6=$D$1,IF($Y$6*$AD$6&gt;=$K$1,0.4,IF($Y$6*$AD$6&gt;=$J$1,0.2,0)),0))*$B8*$D8*$E8^(AB$2-1),0.01),0)</f>
        <v>0</v>
      </c>
      <c r="AC8" s="39">
        <f>IF(CEILING($B8*$D8/3,1)&gt;=AC$2,CEILING($F$1*IF($Y$6*$AD$6&gt;=$I$1,1,IF($Y$6*$AD$6&gt;=$H$1,0.5,0))*(1+IF($N$6=$D$1,IF($Y$6*$AD$6&gt;=$K$1,0.4,IF($Y$6*$AD$6&gt;=$J$1,0.2,0)),0))*$B8*$D8*$E8^(AC$2-1),0.01),0)</f>
        <v>0</v>
      </c>
      <c r="AD8" s="39">
        <f>IF(CEILING($B8*$D8/3,1)&gt;=AD$2,CEILING($F$1*IF($Y$6*$AD$6&gt;=$I$1,1,IF($Y$6*$AD$6&gt;=$H$1,0.5,0))*(1+IF($N$6=$D$1,IF($Y$6*$AD$6&gt;=$K$1,0.4,IF($Y$6*$AD$6&gt;=$J$1,0.2,0)),0))*$B8*$D8*$E8^(AD$2-1),0.01),0)</f>
        <v>0</v>
      </c>
      <c r="AE8" s="39">
        <f>IF(CEILING($B8*$D8/3,1)&gt;=AE$2,CEILING($F$1*IF($Y$6*$AD$6&gt;=$I$1,1,IF($Y$6*$AD$6&gt;=$H$1,0.5,0))*(1+IF($N$6=$D$1,IF($Y$6*$AD$6&gt;=$K$1,0.4,IF($Y$6*$AD$6&gt;=$J$1,0.2,0)),0))*$B8*$D8*$E8^(AE$2-1),0.01),0)</f>
        <v>0</v>
      </c>
      <c r="AF8" s="39">
        <f>IF(CEILING($B8*$D8/3,1)&gt;=AF$2,CEILING($F$1*IF($Y$6*$AD$6&gt;=$I$1,1,IF($Y$6*$AD$6&gt;=$H$1,0.5,0))*(1+IF($N$6=$D$1,IF($Y$6*$AD$6&gt;=$K$1,0.4,IF($Y$6*$AD$6&gt;=$J$1,0.2,0)),0))*$B8*$D8*$E8^(AF$2-1),0.01),0)</f>
        <v>0</v>
      </c>
      <c r="AG8" s="39">
        <f>IF(CEILING($B8*$D8/3,1)&gt;=AG$2,CEILING($F$1*IF($Y$6*$AD$6&gt;=$I$1,1,IF($Y$6*$AD$6&gt;=$H$1,0.5,0))*(1+IF($N$6=$D$1,IF($Y$6*$AD$6&gt;=$K$1,0.4,IF($Y$6*$AD$6&gt;=$J$1,0.2,0)),0))*$B8*$D8*$E8^(AG$2-1),0.01),0)</f>
        <v>0</v>
      </c>
      <c r="AH8" s="39">
        <f>IF(CEILING($B8*$D8/3,1)&gt;=AH$2,CEILING($F$1*IF($Y$6*$AD$6&gt;=$I$1,1,IF($Y$6*$AD$6&gt;=$H$1,0.5,0))*(1+IF($N$6=$D$1,IF($Y$6*$AD$6&gt;=$K$1,0.4,IF($Y$6*$AD$6&gt;=$J$1,0.2,0)),0))*$B8*$D8*$E8^(AH$2-1),0.01),0)</f>
        <v>0</v>
      </c>
      <c r="AI8" s="40">
        <f>IF(CEILING($B8*$D8/3,1)&gt;=AI$2,CEILING($F$1*IF($Y$6*$AD$6&gt;=$I$1,1,IF($Y$6*$AD$6&gt;=$H$1,0.5,0))*(1+IF($N$6=$D$1,IF($Y$6*$AD$6&gt;=$K$1,0.4,IF($Y$6*$AD$6&gt;=$J$1,0.2,0)),0))*$B8*$D8*$E8^(AI$2-1),0.01),0)</f>
        <v>0</v>
      </c>
    </row>
    <row r="9" spans="1:35" x14ac:dyDescent="0.25">
      <c r="A9" s="58"/>
      <c r="B9" s="60"/>
      <c r="C9" s="6"/>
      <c r="D9" s="68"/>
      <c r="E9" s="64"/>
      <c r="F9" s="41"/>
      <c r="G9" s="41"/>
      <c r="H9" s="41"/>
      <c r="I9" s="41"/>
      <c r="J9" s="42"/>
      <c r="K9" s="42"/>
      <c r="L9" s="42"/>
      <c r="M9" s="42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3"/>
    </row>
    <row r="10" spans="1:35" x14ac:dyDescent="0.25">
      <c r="A10" s="58"/>
      <c r="B10" s="60"/>
      <c r="C10" s="6"/>
      <c r="D10" s="68"/>
      <c r="E10" s="64"/>
      <c r="F10" s="133" t="s">
        <v>11</v>
      </c>
      <c r="G10" s="134"/>
      <c r="H10" s="134"/>
      <c r="I10" s="36">
        <v>3</v>
      </c>
      <c r="J10" s="135" t="s">
        <v>3</v>
      </c>
      <c r="K10" s="135"/>
      <c r="L10" s="135"/>
      <c r="M10" s="135"/>
      <c r="N10" s="130" t="s">
        <v>5</v>
      </c>
      <c r="O10" s="130"/>
      <c r="P10" s="132" t="s">
        <v>1</v>
      </c>
      <c r="Q10" s="132"/>
      <c r="R10" s="132"/>
      <c r="S10" s="132"/>
      <c r="T10" s="15">
        <v>20</v>
      </c>
      <c r="U10" s="132" t="s">
        <v>2</v>
      </c>
      <c r="V10" s="132"/>
      <c r="W10" s="132"/>
      <c r="X10" s="132"/>
      <c r="Y10" s="15">
        <v>19</v>
      </c>
      <c r="Z10" s="132" t="s">
        <v>4</v>
      </c>
      <c r="AA10" s="132"/>
      <c r="AB10" s="132"/>
      <c r="AC10" s="132"/>
      <c r="AD10" s="15">
        <v>3</v>
      </c>
      <c r="AE10" s="37"/>
      <c r="AF10" s="37"/>
      <c r="AG10" s="37"/>
      <c r="AH10" s="37"/>
      <c r="AI10" s="38"/>
    </row>
    <row r="11" spans="1:35" x14ac:dyDescent="0.25">
      <c r="A11" s="58">
        <v>1</v>
      </c>
      <c r="B11" s="60">
        <v>1.1499999999999999</v>
      </c>
      <c r="C11" s="16">
        <v>0</v>
      </c>
      <c r="D11" s="67">
        <f>CEILING(1+MIN(Y$10,T$10-C11-1)+MAX((T$10-C11-1-Y$10)/$M$1,0),1)</f>
        <v>20</v>
      </c>
      <c r="E11" s="63">
        <f>MAX(($G$1/($F$1*D11))^(1/(ROUNDUP(D11/3,)-1)),2/3)</f>
        <v>0.66666666666666663</v>
      </c>
      <c r="F11" s="39">
        <f>IF(CEILING($B11*$D11/3,1)&gt;=F$2,CEILING($F$1*IF($Y$10*$AD$10&gt;=$I$1,1,IF($Y$10*$AD$10&gt;=$H$1,0.5,0))*(1+IF($N$10=$D$1,IF($Y$10*$AD$10&gt;=$K$1,0.4,IF($Y$10*$AD$10&gt;=$J$1,0.2,0)),0))*$B11*$D11*$E11^(F$2-1),0.01),0)</f>
        <v>1.73</v>
      </c>
      <c r="G11" s="39">
        <f>IF(CEILING($B11*$D11/3,1)&gt;=G$2,CEILING($F$1*IF($Y$10*$AD$10&gt;=$I$1,1,IF($Y$10*$AD$10&gt;=$H$1,0.5,0))*(1+IF($N$10=$D$1,IF($Y$10*$AD$10&gt;=$K$1,0.4,IF($Y$10*$AD$10&gt;=$J$1,0.2,0)),0))*$B11*$D11*$E11^(G$2-1),0.01),0)</f>
        <v>1.1500000000000001</v>
      </c>
      <c r="H11" s="39">
        <f>IF(CEILING($B11*$D11/3,1)&gt;=H$2,CEILING($F$1*IF($Y$10*$AD$10&gt;=$I$1,1,IF($Y$10*$AD$10&gt;=$H$1,0.5,0))*(1+IF($N$10=$D$1,IF($Y$10*$AD$10&gt;=$K$1,0.4,IF($Y$10*$AD$10&gt;=$J$1,0.2,0)),0))*$B11*$D11*$E11^(H$2-1),0.01),0)</f>
        <v>0.77</v>
      </c>
      <c r="I11" s="39">
        <f>IF(CEILING($B11*$D11/3,1)&gt;=I$2,CEILING($F$1*IF($Y$10*$AD$10&gt;=$I$1,1,IF($Y$10*$AD$10&gt;=$H$1,0.5,0))*(1+IF($N$10=$D$1,IF($Y$10*$AD$10&gt;=$K$1,0.4,IF($Y$10*$AD$10&gt;=$J$1,0.2,0)),0))*$B11*$D11*$E11^(I$2-1),0.01),0)</f>
        <v>0.52</v>
      </c>
      <c r="J11" s="39">
        <f>IF(CEILING($B11*$D11/3,1)&gt;=J$2,CEILING($F$1*IF($Y$10*$AD$10&gt;=$I$1,1,IF($Y$10*$AD$10&gt;=$H$1,0.5,0))*(1+IF($N$10=$D$1,IF($Y$10*$AD$10&gt;=$K$1,0.4,IF($Y$10*$AD$10&gt;=$J$1,0.2,0)),0))*$B11*$D11*$E11^(J$2-1),0.01),0)</f>
        <v>0.35000000000000003</v>
      </c>
      <c r="K11" s="39">
        <f>IF(CEILING($B11*$D11/3,1)&gt;=K$2,CEILING($F$1*IF($Y$10*$AD$10&gt;=$I$1,1,IF($Y$10*$AD$10&gt;=$H$1,0.5,0))*(1+IF($N$10=$D$1,IF($Y$10*$AD$10&gt;=$K$1,0.4,IF($Y$10*$AD$10&gt;=$J$1,0.2,0)),0))*$B11*$D11*$E11^(K$2-1),0.01),0)</f>
        <v>0.23</v>
      </c>
      <c r="L11" s="39">
        <f>IF(CEILING($B11*$D11/3,1)&gt;=L$2,CEILING($F$1*IF($Y$10*$AD$10&gt;=$I$1,1,IF($Y$10*$AD$10&gt;=$H$1,0.5,0))*(1+IF($N$10=$D$1,IF($Y$10*$AD$10&gt;=$K$1,0.4,IF($Y$10*$AD$10&gt;=$J$1,0.2,0)),0))*$B11*$D11*$E11^(L$2-1),0.01),0)</f>
        <v>0.16</v>
      </c>
      <c r="M11" s="39">
        <f>IF(CEILING($B11*$D11/3,1)&gt;=M$2,CEILING($F$1*IF($Y$10*$AD$10&gt;=$I$1,1,IF($Y$10*$AD$10&gt;=$H$1,0.5,0))*(1+IF($N$10=$D$1,IF($Y$10*$AD$10&gt;=$K$1,0.4,IF($Y$10*$AD$10&gt;=$J$1,0.2,0)),0))*$B11*$D11*$E11^(M$2-1),0.01),0)</f>
        <v>0.11</v>
      </c>
      <c r="N11" s="39">
        <f>IF(CEILING($B11*$D11/3,1)&gt;=N$2,CEILING($F$1*IF($Y$10*$AD$10&gt;=$I$1,1,IF($Y$10*$AD$10&gt;=$H$1,0.5,0))*(1+IF($N$10=$D$1,IF($Y$10*$AD$10&gt;=$K$1,0.4,IF($Y$10*$AD$10&gt;=$J$1,0.2,0)),0))*$B11*$D11*$E11^(N$2-1),0.01),0)</f>
        <v>0</v>
      </c>
      <c r="O11" s="39">
        <f>IF(CEILING($B11*$D11/3,1)&gt;=O$2,CEILING($F$1*IF($Y$10*$AD$10&gt;=$I$1,1,IF($Y$10*$AD$10&gt;=$H$1,0.5,0))*(1+IF($N$10=$D$1,IF($Y$10*$AD$10&gt;=$K$1,0.4,IF($Y$10*$AD$10&gt;=$J$1,0.2,0)),0))*$B11*$D11*$E11^(O$2-1),0.01),0)</f>
        <v>0</v>
      </c>
      <c r="P11" s="39">
        <f>IF(CEILING($B11*$D11/3,1)&gt;=P$2,CEILING($F$1*IF($Y$10*$AD$10&gt;=$I$1,1,IF($Y$10*$AD$10&gt;=$H$1,0.5,0))*(1+IF($N$10=$D$1,IF($Y$10*$AD$10&gt;=$K$1,0.4,IF($Y$10*$AD$10&gt;=$J$1,0.2,0)),0))*$B11*$D11*$E11^(P$2-1),0.01),0)</f>
        <v>0</v>
      </c>
      <c r="Q11" s="39">
        <f>IF(CEILING($B11*$D11/3,1)&gt;=Q$2,CEILING($F$1*IF($Y$10*$AD$10&gt;=$I$1,1,IF($Y$10*$AD$10&gt;=$H$1,0.5,0))*(1+IF($N$10=$D$1,IF($Y$10*$AD$10&gt;=$K$1,0.4,IF($Y$10*$AD$10&gt;=$J$1,0.2,0)),0))*$B11*$D11*$E11^(Q$2-1),0.01),0)</f>
        <v>0</v>
      </c>
      <c r="R11" s="39">
        <f>IF(CEILING($B11*$D11/3,1)&gt;=R$2,CEILING($F$1*IF($Y$10*$AD$10&gt;=$I$1,1,IF($Y$10*$AD$10&gt;=$H$1,0.5,0))*(1+IF($N$10=$D$1,IF($Y$10*$AD$10&gt;=$K$1,0.4,IF($Y$10*$AD$10&gt;=$J$1,0.2,0)),0))*$B11*$D11*$E11^(R$2-1),0.01),0)</f>
        <v>0</v>
      </c>
      <c r="S11" s="39">
        <f>IF(CEILING($B11*$D11/3,1)&gt;=S$2,CEILING($F$1*IF($Y$10*$AD$10&gt;=$I$1,1,IF($Y$10*$AD$10&gt;=$H$1,0.5,0))*(1+IF($N$10=$D$1,IF($Y$10*$AD$10&gt;=$K$1,0.4,IF($Y$10*$AD$10&gt;=$J$1,0.2,0)),0))*$B11*$D11*$E11^(S$2-1),0.01),0)</f>
        <v>0</v>
      </c>
      <c r="T11" s="39">
        <f>IF(CEILING($B11*$D11/3,1)&gt;=T$2,CEILING($F$1*IF($Y$10*$AD$10&gt;=$I$1,1,IF($Y$10*$AD$10&gt;=$H$1,0.5,0))*(1+IF($N$10=$D$1,IF($Y$10*$AD$10&gt;=$K$1,0.4,IF($Y$10*$AD$10&gt;=$J$1,0.2,0)),0))*$B11*$D11*$E11^(T$2-1),0.01),0)</f>
        <v>0</v>
      </c>
      <c r="U11" s="39">
        <f>IF(CEILING($B11*$D11/3,1)&gt;=U$2,CEILING($F$1*IF($Y$10*$AD$10&gt;=$I$1,1,IF($Y$10*$AD$10&gt;=$H$1,0.5,0))*(1+IF($N$10=$D$1,IF($Y$10*$AD$10&gt;=$K$1,0.4,IF($Y$10*$AD$10&gt;=$J$1,0.2,0)),0))*$B11*$D11*$E11^(U$2-1),0.01),0)</f>
        <v>0</v>
      </c>
      <c r="V11" s="39">
        <f>IF(CEILING($B11*$D11/3,1)&gt;=V$2,CEILING($F$1*IF($Y$10*$AD$10&gt;=$I$1,1,IF($Y$10*$AD$10&gt;=$H$1,0.5,0))*(1+IF($N$10=$D$1,IF($Y$10*$AD$10&gt;=$K$1,0.4,IF($Y$10*$AD$10&gt;=$J$1,0.2,0)),0))*$B11*$D11*$E11^(V$2-1),0.01),0)</f>
        <v>0</v>
      </c>
      <c r="W11" s="39">
        <f>IF(CEILING($B11*$D11/3,1)&gt;=W$2,CEILING($F$1*IF($Y$10*$AD$10&gt;=$I$1,1,IF($Y$10*$AD$10&gt;=$H$1,0.5,0))*(1+IF($N$10=$D$1,IF($Y$10*$AD$10&gt;=$K$1,0.4,IF($Y$10*$AD$10&gt;=$J$1,0.2,0)),0))*$B11*$D11*$E11^(W$2-1),0.01),0)</f>
        <v>0</v>
      </c>
      <c r="X11" s="39">
        <f>IF(CEILING($B11*$D11/3,1)&gt;=X$2,CEILING($F$1*IF($Y$10*$AD$10&gt;=$I$1,1,IF($Y$10*$AD$10&gt;=$H$1,0.5,0))*(1+IF($N$10=$D$1,IF($Y$10*$AD$10&gt;=$K$1,0.4,IF($Y$10*$AD$10&gt;=$J$1,0.2,0)),0))*$B11*$D11*$E11^(X$2-1),0.01),0)</f>
        <v>0</v>
      </c>
      <c r="Y11" s="39">
        <f>IF(CEILING($B11*$D11/3,1)&gt;=Y$2,CEILING($F$1*IF($Y$10*$AD$10&gt;=$I$1,1,IF($Y$10*$AD$10&gt;=$H$1,0.5,0))*(1+IF($N$10=$D$1,IF($Y$10*$AD$10&gt;=$K$1,0.4,IF($Y$10*$AD$10&gt;=$J$1,0.2,0)),0))*$B11*$D11*$E11^(Y$2-1),0.01),0)</f>
        <v>0</v>
      </c>
      <c r="Z11" s="39">
        <f>IF(CEILING($B11*$D11/3,1)&gt;=Z$2,CEILING($F$1*IF($Y$10*$AD$10&gt;=$I$1,1,IF($Y$10*$AD$10&gt;=$H$1,0.5,0))*(1+IF($N$10=$D$1,IF($Y$10*$AD$10&gt;=$K$1,0.4,IF($Y$10*$AD$10&gt;=$J$1,0.2,0)),0))*$B11*$D11*$E11^(Z$2-1),0.01),0)</f>
        <v>0</v>
      </c>
      <c r="AA11" s="39">
        <f>IF(CEILING($B11*$D11/3,1)&gt;=AA$2,CEILING($F$1*IF($Y$10*$AD$10&gt;=$I$1,1,IF($Y$10*$AD$10&gt;=$H$1,0.5,0))*(1+IF($N$10=$D$1,IF($Y$10*$AD$10&gt;=$K$1,0.4,IF($Y$10*$AD$10&gt;=$J$1,0.2,0)),0))*$B11*$D11*$E11^(AA$2-1),0.01),0)</f>
        <v>0</v>
      </c>
      <c r="AB11" s="39">
        <f>IF(CEILING($B11*$D11/3,1)&gt;=AB$2,CEILING($F$1*IF($Y$10*$AD$10&gt;=$I$1,1,IF($Y$10*$AD$10&gt;=$H$1,0.5,0))*(1+IF($N$10=$D$1,IF($Y$10*$AD$10&gt;=$K$1,0.4,IF($Y$10*$AD$10&gt;=$J$1,0.2,0)),0))*$B11*$D11*$E11^(AB$2-1),0.01),0)</f>
        <v>0</v>
      </c>
      <c r="AC11" s="39">
        <f>IF(CEILING($B11*$D11/3,1)&gt;=AC$2,CEILING($F$1*IF($Y$10*$AD$10&gt;=$I$1,1,IF($Y$10*$AD$10&gt;=$H$1,0.5,0))*(1+IF($N$10=$D$1,IF($Y$10*$AD$10&gt;=$K$1,0.4,IF($Y$10*$AD$10&gt;=$J$1,0.2,0)),0))*$B11*$D11*$E11^(AC$2-1),0.01),0)</f>
        <v>0</v>
      </c>
      <c r="AD11" s="39">
        <f>IF(CEILING($B11*$D11/3,1)&gt;=AD$2,CEILING($F$1*IF($Y$10*$AD$10&gt;=$I$1,1,IF($Y$10*$AD$10&gt;=$H$1,0.5,0))*(1+IF($N$10=$D$1,IF($Y$10*$AD$10&gt;=$K$1,0.4,IF($Y$10*$AD$10&gt;=$J$1,0.2,0)),0))*$B11*$D11*$E11^(AD$2-1),0.01),0)</f>
        <v>0</v>
      </c>
      <c r="AE11" s="39">
        <f>IF(CEILING($B11*$D11/3,1)&gt;=AE$2,CEILING($F$1*IF($Y$10*$AD$10&gt;=$I$1,1,IF($Y$10*$AD$10&gt;=$H$1,0.5,0))*(1+IF($N$10=$D$1,IF($Y$10*$AD$10&gt;=$K$1,0.4,IF($Y$10*$AD$10&gt;=$J$1,0.2,0)),0))*$B11*$D11*$E11^(AE$2-1),0.01),0)</f>
        <v>0</v>
      </c>
      <c r="AF11" s="39">
        <f>IF(CEILING($B11*$D11/3,1)&gt;=AF$2,CEILING($F$1*IF($Y$10*$AD$10&gt;=$I$1,1,IF($Y$10*$AD$10&gt;=$H$1,0.5,0))*(1+IF($N$10=$D$1,IF($Y$10*$AD$10&gt;=$K$1,0.4,IF($Y$10*$AD$10&gt;=$J$1,0.2,0)),0))*$B11*$D11*$E11^(AF$2-1),0.01),0)</f>
        <v>0</v>
      </c>
      <c r="AG11" s="39">
        <f>IF(CEILING($B11*$D11/3,1)&gt;=AG$2,CEILING($F$1*IF($Y$10*$AD$10&gt;=$I$1,1,IF($Y$10*$AD$10&gt;=$H$1,0.5,0))*(1+IF($N$10=$D$1,IF($Y$10*$AD$10&gt;=$K$1,0.4,IF($Y$10*$AD$10&gt;=$J$1,0.2,0)),0))*$B11*$D11*$E11^(AG$2-1),0.01),0)</f>
        <v>0</v>
      </c>
      <c r="AH11" s="39">
        <f>IF(CEILING($B11*$D11/3,1)&gt;=AH$2,CEILING($F$1*IF($Y$10*$AD$10&gt;=$I$1,1,IF($Y$10*$AD$10&gt;=$H$1,0.5,0))*(1+IF($N$10=$D$1,IF($Y$10*$AD$10&gt;=$K$1,0.4,IF($Y$10*$AD$10&gt;=$J$1,0.2,0)),0))*$B11*$D11*$E11^(AH$2-1),0.01),0)</f>
        <v>0</v>
      </c>
      <c r="AI11" s="40">
        <f>IF(CEILING($B11*$D11/3,1)&gt;=AI$2,CEILING($F$1*IF($Y$10*$AD$10&gt;=$I$1,1,IF($Y$10*$AD$10&gt;=$H$1,0.5,0))*(1+IF($N$10=$D$1,IF($Y$10*$AD$10&gt;=$K$1,0.4,IF($Y$10*$AD$10&gt;=$J$1,0.2,0)),0))*$B11*$D11*$E11^(AI$2-1),0.01),0)</f>
        <v>0</v>
      </c>
    </row>
    <row r="12" spans="1:35" x14ac:dyDescent="0.25">
      <c r="A12" s="58">
        <v>2</v>
      </c>
      <c r="B12" s="60">
        <v>1</v>
      </c>
      <c r="C12" s="16">
        <v>0</v>
      </c>
      <c r="D12" s="67">
        <f>CEILING(1+MIN(Y$10,T$10-C12-1)+MAX((T$10-C12-1-Y$10)/$M$1,0),1)</f>
        <v>20</v>
      </c>
      <c r="E12" s="63">
        <f>MAX(($G$1/($F$1*D12))^(1/(ROUNDUP(D12/3,)-1)),2/3)</f>
        <v>0.66666666666666663</v>
      </c>
      <c r="F12" s="39">
        <f>IF(CEILING($B12*$D12/3,1)&gt;=F$2,CEILING($F$1*IF($Y$10*$AD$10&gt;=$I$1,1,IF($Y$10*$AD$10&gt;=$H$1,0.5,0))*(1+IF($N$10=$D$1,IF($Y$10*$AD$10&gt;=$K$1,0.4,IF($Y$10*$AD$10&gt;=$J$1,0.2,0)),0))*$B12*$D12*$E12^(F$2-1),0.01),0)</f>
        <v>1.5</v>
      </c>
      <c r="G12" s="39">
        <f>IF(CEILING($B12*$D12/3,1)&gt;=G$2,CEILING($F$1*IF($Y$10*$AD$10&gt;=$I$1,1,IF($Y$10*$AD$10&gt;=$H$1,0.5,0))*(1+IF($N$10=$D$1,IF($Y$10*$AD$10&gt;=$K$1,0.4,IF($Y$10*$AD$10&gt;=$J$1,0.2,0)),0))*$B12*$D12*$E12^(G$2-1),0.01),0)</f>
        <v>1</v>
      </c>
      <c r="H12" s="39">
        <f>IF(CEILING($B12*$D12/3,1)&gt;=H$2,CEILING($F$1*IF($Y$10*$AD$10&gt;=$I$1,1,IF($Y$10*$AD$10&gt;=$H$1,0.5,0))*(1+IF($N$10=$D$1,IF($Y$10*$AD$10&gt;=$K$1,0.4,IF($Y$10*$AD$10&gt;=$J$1,0.2,0)),0))*$B12*$D12*$E12^(H$2-1),0.01),0)</f>
        <v>0.67</v>
      </c>
      <c r="I12" s="39">
        <f>IF(CEILING($B12*$D12/3,1)&gt;=I$2,CEILING($F$1*IF($Y$10*$AD$10&gt;=$I$1,1,IF($Y$10*$AD$10&gt;=$H$1,0.5,0))*(1+IF($N$10=$D$1,IF($Y$10*$AD$10&gt;=$K$1,0.4,IF($Y$10*$AD$10&gt;=$J$1,0.2,0)),0))*$B12*$D12*$E12^(I$2-1),0.01),0)</f>
        <v>0.45</v>
      </c>
      <c r="J12" s="39">
        <f>IF(CEILING($B12*$D12/3,1)&gt;=J$2,CEILING($F$1*IF($Y$10*$AD$10&gt;=$I$1,1,IF($Y$10*$AD$10&gt;=$H$1,0.5,0))*(1+IF($N$10=$D$1,IF($Y$10*$AD$10&gt;=$K$1,0.4,IF($Y$10*$AD$10&gt;=$J$1,0.2,0)),0))*$B12*$D12*$E12^(J$2-1),0.01),0)</f>
        <v>0.3</v>
      </c>
      <c r="K12" s="39">
        <f>IF(CEILING($B12*$D12/3,1)&gt;=K$2,CEILING($F$1*IF($Y$10*$AD$10&gt;=$I$1,1,IF($Y$10*$AD$10&gt;=$H$1,0.5,0))*(1+IF($N$10=$D$1,IF($Y$10*$AD$10&gt;=$K$1,0.4,IF($Y$10*$AD$10&gt;=$J$1,0.2,0)),0))*$B12*$D12*$E12^(K$2-1),0.01),0)</f>
        <v>0.2</v>
      </c>
      <c r="L12" s="39">
        <f>IF(CEILING($B12*$D12/3,1)&gt;=L$2,CEILING($F$1*IF($Y$10*$AD$10&gt;=$I$1,1,IF($Y$10*$AD$10&gt;=$H$1,0.5,0))*(1+IF($N$10=$D$1,IF($Y$10*$AD$10&gt;=$K$1,0.4,IF($Y$10*$AD$10&gt;=$J$1,0.2,0)),0))*$B12*$D12*$E12^(L$2-1),0.01),0)</f>
        <v>0.14000000000000001</v>
      </c>
      <c r="M12" s="39">
        <f>IF(CEILING($B12*$D12/3,1)&gt;=M$2,CEILING($F$1*IF($Y$10*$AD$10&gt;=$I$1,1,IF($Y$10*$AD$10&gt;=$H$1,0.5,0))*(1+IF($N$10=$D$1,IF($Y$10*$AD$10&gt;=$K$1,0.4,IF($Y$10*$AD$10&gt;=$J$1,0.2,0)),0))*$B12*$D12*$E12^(M$2-1),0.01),0)</f>
        <v>0</v>
      </c>
      <c r="N12" s="39">
        <f>IF(CEILING($B12*$D12/3,1)&gt;=N$2,CEILING($F$1*IF($Y$10*$AD$10&gt;=$I$1,1,IF($Y$10*$AD$10&gt;=$H$1,0.5,0))*(1+IF($N$10=$D$1,IF($Y$10*$AD$10&gt;=$K$1,0.4,IF($Y$10*$AD$10&gt;=$J$1,0.2,0)),0))*$B12*$D12*$E12^(N$2-1),0.01),0)</f>
        <v>0</v>
      </c>
      <c r="O12" s="39">
        <f>IF(CEILING($B12*$D12/3,1)&gt;=O$2,CEILING($F$1*IF($Y$10*$AD$10&gt;=$I$1,1,IF($Y$10*$AD$10&gt;=$H$1,0.5,0))*(1+IF($N$10=$D$1,IF($Y$10*$AD$10&gt;=$K$1,0.4,IF($Y$10*$AD$10&gt;=$J$1,0.2,0)),0))*$B12*$D12*$E12^(O$2-1),0.01),0)</f>
        <v>0</v>
      </c>
      <c r="P12" s="39">
        <f>IF(CEILING($B12*$D12/3,1)&gt;=P$2,CEILING($F$1*IF($Y$10*$AD$10&gt;=$I$1,1,IF($Y$10*$AD$10&gt;=$H$1,0.5,0))*(1+IF($N$10=$D$1,IF($Y$10*$AD$10&gt;=$K$1,0.4,IF($Y$10*$AD$10&gt;=$J$1,0.2,0)),0))*$B12*$D12*$E12^(P$2-1),0.01),0)</f>
        <v>0</v>
      </c>
      <c r="Q12" s="39">
        <f>IF(CEILING($B12*$D12/3,1)&gt;=Q$2,CEILING($F$1*IF($Y$10*$AD$10&gt;=$I$1,1,IF($Y$10*$AD$10&gt;=$H$1,0.5,0))*(1+IF($N$10=$D$1,IF($Y$10*$AD$10&gt;=$K$1,0.4,IF($Y$10*$AD$10&gt;=$J$1,0.2,0)),0))*$B12*$D12*$E12^(Q$2-1),0.01),0)</f>
        <v>0</v>
      </c>
      <c r="R12" s="39">
        <f>IF(CEILING($B12*$D12/3,1)&gt;=R$2,CEILING($F$1*IF($Y$10*$AD$10&gt;=$I$1,1,IF($Y$10*$AD$10&gt;=$H$1,0.5,0))*(1+IF($N$10=$D$1,IF($Y$10*$AD$10&gt;=$K$1,0.4,IF($Y$10*$AD$10&gt;=$J$1,0.2,0)),0))*$B12*$D12*$E12^(R$2-1),0.01),0)</f>
        <v>0</v>
      </c>
      <c r="S12" s="39">
        <f>IF(CEILING($B12*$D12/3,1)&gt;=S$2,CEILING($F$1*IF($Y$10*$AD$10&gt;=$I$1,1,IF($Y$10*$AD$10&gt;=$H$1,0.5,0))*(1+IF($N$10=$D$1,IF($Y$10*$AD$10&gt;=$K$1,0.4,IF($Y$10*$AD$10&gt;=$J$1,0.2,0)),0))*$B12*$D12*$E12^(S$2-1),0.01),0)</f>
        <v>0</v>
      </c>
      <c r="T12" s="39">
        <f>IF(CEILING($B12*$D12/3,1)&gt;=T$2,CEILING($F$1*IF($Y$10*$AD$10&gt;=$I$1,1,IF($Y$10*$AD$10&gt;=$H$1,0.5,0))*(1+IF($N$10=$D$1,IF($Y$10*$AD$10&gt;=$K$1,0.4,IF($Y$10*$AD$10&gt;=$J$1,0.2,0)),0))*$B12*$D12*$E12^(T$2-1),0.01),0)</f>
        <v>0</v>
      </c>
      <c r="U12" s="39">
        <f>IF(CEILING($B12*$D12/3,1)&gt;=U$2,CEILING($F$1*IF($Y$10*$AD$10&gt;=$I$1,1,IF($Y$10*$AD$10&gt;=$H$1,0.5,0))*(1+IF($N$10=$D$1,IF($Y$10*$AD$10&gt;=$K$1,0.4,IF($Y$10*$AD$10&gt;=$J$1,0.2,0)),0))*$B12*$D12*$E12^(U$2-1),0.01),0)</f>
        <v>0</v>
      </c>
      <c r="V12" s="39">
        <f>IF(CEILING($B12*$D12/3,1)&gt;=V$2,CEILING($F$1*IF($Y$10*$AD$10&gt;=$I$1,1,IF($Y$10*$AD$10&gt;=$H$1,0.5,0))*(1+IF($N$10=$D$1,IF($Y$10*$AD$10&gt;=$K$1,0.4,IF($Y$10*$AD$10&gt;=$J$1,0.2,0)),0))*$B12*$D12*$E12^(V$2-1),0.01),0)</f>
        <v>0</v>
      </c>
      <c r="W12" s="39">
        <f>IF(CEILING($B12*$D12/3,1)&gt;=W$2,CEILING($F$1*IF($Y$10*$AD$10&gt;=$I$1,1,IF($Y$10*$AD$10&gt;=$H$1,0.5,0))*(1+IF($N$10=$D$1,IF($Y$10*$AD$10&gt;=$K$1,0.4,IF($Y$10*$AD$10&gt;=$J$1,0.2,0)),0))*$B12*$D12*$E12^(W$2-1),0.01),0)</f>
        <v>0</v>
      </c>
      <c r="X12" s="39">
        <f>IF(CEILING($B12*$D12/3,1)&gt;=X$2,CEILING($F$1*IF($Y$10*$AD$10&gt;=$I$1,1,IF($Y$10*$AD$10&gt;=$H$1,0.5,0))*(1+IF($N$10=$D$1,IF($Y$10*$AD$10&gt;=$K$1,0.4,IF($Y$10*$AD$10&gt;=$J$1,0.2,0)),0))*$B12*$D12*$E12^(X$2-1),0.01),0)</f>
        <v>0</v>
      </c>
      <c r="Y12" s="39">
        <f>IF(CEILING($B12*$D12/3,1)&gt;=Y$2,CEILING($F$1*IF($Y$10*$AD$10&gt;=$I$1,1,IF($Y$10*$AD$10&gt;=$H$1,0.5,0))*(1+IF($N$10=$D$1,IF($Y$10*$AD$10&gt;=$K$1,0.4,IF($Y$10*$AD$10&gt;=$J$1,0.2,0)),0))*$B12*$D12*$E12^(Y$2-1),0.01),0)</f>
        <v>0</v>
      </c>
      <c r="Z12" s="39">
        <f>IF(CEILING($B12*$D12/3,1)&gt;=Z$2,CEILING($F$1*IF($Y$10*$AD$10&gt;=$I$1,1,IF($Y$10*$AD$10&gt;=$H$1,0.5,0))*(1+IF($N$10=$D$1,IF($Y$10*$AD$10&gt;=$K$1,0.4,IF($Y$10*$AD$10&gt;=$J$1,0.2,0)),0))*$B12*$D12*$E12^(Z$2-1),0.01),0)</f>
        <v>0</v>
      </c>
      <c r="AA12" s="39">
        <f>IF(CEILING($B12*$D12/3,1)&gt;=AA$2,CEILING($F$1*IF($Y$10*$AD$10&gt;=$I$1,1,IF($Y$10*$AD$10&gt;=$H$1,0.5,0))*(1+IF($N$10=$D$1,IF($Y$10*$AD$10&gt;=$K$1,0.4,IF($Y$10*$AD$10&gt;=$J$1,0.2,0)),0))*$B12*$D12*$E12^(AA$2-1),0.01),0)</f>
        <v>0</v>
      </c>
      <c r="AB12" s="39">
        <f>IF(CEILING($B12*$D12/3,1)&gt;=AB$2,CEILING($F$1*IF($Y$10*$AD$10&gt;=$I$1,1,IF($Y$10*$AD$10&gt;=$H$1,0.5,0))*(1+IF($N$10=$D$1,IF($Y$10*$AD$10&gt;=$K$1,0.4,IF($Y$10*$AD$10&gt;=$J$1,0.2,0)),0))*$B12*$D12*$E12^(AB$2-1),0.01),0)</f>
        <v>0</v>
      </c>
      <c r="AC12" s="39">
        <f>IF(CEILING($B12*$D12/3,1)&gt;=AC$2,CEILING($F$1*IF($Y$10*$AD$10&gt;=$I$1,1,IF($Y$10*$AD$10&gt;=$H$1,0.5,0))*(1+IF($N$10=$D$1,IF($Y$10*$AD$10&gt;=$K$1,0.4,IF($Y$10*$AD$10&gt;=$J$1,0.2,0)),0))*$B12*$D12*$E12^(AC$2-1),0.01),0)</f>
        <v>0</v>
      </c>
      <c r="AD12" s="39">
        <f>IF(CEILING($B12*$D12/3,1)&gt;=AD$2,CEILING($F$1*IF($Y$10*$AD$10&gt;=$I$1,1,IF($Y$10*$AD$10&gt;=$H$1,0.5,0))*(1+IF($N$10=$D$1,IF($Y$10*$AD$10&gt;=$K$1,0.4,IF($Y$10*$AD$10&gt;=$J$1,0.2,0)),0))*$B12*$D12*$E12^(AD$2-1),0.01),0)</f>
        <v>0</v>
      </c>
      <c r="AE12" s="39">
        <f>IF(CEILING($B12*$D12/3,1)&gt;=AE$2,CEILING($F$1*IF($Y$10*$AD$10&gt;=$I$1,1,IF($Y$10*$AD$10&gt;=$H$1,0.5,0))*(1+IF($N$10=$D$1,IF($Y$10*$AD$10&gt;=$K$1,0.4,IF($Y$10*$AD$10&gt;=$J$1,0.2,0)),0))*$B12*$D12*$E12^(AE$2-1),0.01),0)</f>
        <v>0</v>
      </c>
      <c r="AF12" s="39">
        <f>IF(CEILING($B12*$D12/3,1)&gt;=AF$2,CEILING($F$1*IF($Y$10*$AD$10&gt;=$I$1,1,IF($Y$10*$AD$10&gt;=$H$1,0.5,0))*(1+IF($N$10=$D$1,IF($Y$10*$AD$10&gt;=$K$1,0.4,IF($Y$10*$AD$10&gt;=$J$1,0.2,0)),0))*$B12*$D12*$E12^(AF$2-1),0.01),0)</f>
        <v>0</v>
      </c>
      <c r="AG12" s="39">
        <f>IF(CEILING($B12*$D12/3,1)&gt;=AG$2,CEILING($F$1*IF($Y$10*$AD$10&gt;=$I$1,1,IF($Y$10*$AD$10&gt;=$H$1,0.5,0))*(1+IF($N$10=$D$1,IF($Y$10*$AD$10&gt;=$K$1,0.4,IF($Y$10*$AD$10&gt;=$J$1,0.2,0)),0))*$B12*$D12*$E12^(AG$2-1),0.01),0)</f>
        <v>0</v>
      </c>
      <c r="AH12" s="39">
        <f>IF(CEILING($B12*$D12/3,1)&gt;=AH$2,CEILING($F$1*IF($Y$10*$AD$10&gt;=$I$1,1,IF($Y$10*$AD$10&gt;=$H$1,0.5,0))*(1+IF($N$10=$D$1,IF($Y$10*$AD$10&gt;=$K$1,0.4,IF($Y$10*$AD$10&gt;=$J$1,0.2,0)),0))*$B12*$D12*$E12^(AH$2-1),0.01),0)</f>
        <v>0</v>
      </c>
      <c r="AI12" s="40">
        <f>IF(CEILING($B12*$D12/3,1)&gt;=AI$2,CEILING($F$1*IF($Y$10*$AD$10&gt;=$I$1,1,IF($Y$10*$AD$10&gt;=$H$1,0.5,0))*(1+IF($N$10=$D$1,IF($Y$10*$AD$10&gt;=$K$1,0.4,IF($Y$10*$AD$10&gt;=$J$1,0.2,0)),0))*$B12*$D12*$E12^(AI$2-1),0.01),0)</f>
        <v>0</v>
      </c>
    </row>
    <row r="13" spans="1:35" x14ac:dyDescent="0.25">
      <c r="A13" s="58">
        <v>3</v>
      </c>
      <c r="B13" s="60">
        <v>0.85</v>
      </c>
      <c r="C13" s="16">
        <v>0</v>
      </c>
      <c r="D13" s="67">
        <f>CEILING(1+MIN(Y$10,T$10-C13-1)+MAX((T$10-C13-1-Y$10)/$M$1,0),1)</f>
        <v>20</v>
      </c>
      <c r="E13" s="63">
        <f>MAX(($G$1/($F$1*D13))^(1/(ROUNDUP(D13/3,)-1)),2/3)</f>
        <v>0.66666666666666663</v>
      </c>
      <c r="F13" s="39">
        <f>IF(CEILING($B13*$D13/3,1)&gt;=F$2,CEILING($F$1*IF($Y$10*$AD$10&gt;=$I$1,1,IF($Y$10*$AD$10&gt;=$H$1,0.5,0))*(1+IF($N$10=$D$1,IF($Y$10*$AD$10&gt;=$K$1,0.4,IF($Y$10*$AD$10&gt;=$J$1,0.2,0)),0))*$B13*$D13*$E13^(F$2-1),0.01),0)</f>
        <v>1.28</v>
      </c>
      <c r="G13" s="39">
        <f>IF(CEILING($B13*$D13/3,1)&gt;=G$2,CEILING($F$1*IF($Y$10*$AD$10&gt;=$I$1,1,IF($Y$10*$AD$10&gt;=$H$1,0.5,0))*(1+IF($N$10=$D$1,IF($Y$10*$AD$10&gt;=$K$1,0.4,IF($Y$10*$AD$10&gt;=$J$1,0.2,0)),0))*$B13*$D13*$E13^(G$2-1),0.01),0)</f>
        <v>0.85</v>
      </c>
      <c r="H13" s="39">
        <f>IF(CEILING($B13*$D13/3,1)&gt;=H$2,CEILING($F$1*IF($Y$10*$AD$10&gt;=$I$1,1,IF($Y$10*$AD$10&gt;=$H$1,0.5,0))*(1+IF($N$10=$D$1,IF($Y$10*$AD$10&gt;=$K$1,0.4,IF($Y$10*$AD$10&gt;=$J$1,0.2,0)),0))*$B13*$D13*$E13^(H$2-1),0.01),0)</f>
        <v>0.57000000000000006</v>
      </c>
      <c r="I13" s="39">
        <f>IF(CEILING($B13*$D13/3,1)&gt;=I$2,CEILING($F$1*IF($Y$10*$AD$10&gt;=$I$1,1,IF($Y$10*$AD$10&gt;=$H$1,0.5,0))*(1+IF($N$10=$D$1,IF($Y$10*$AD$10&gt;=$K$1,0.4,IF($Y$10*$AD$10&gt;=$J$1,0.2,0)),0))*$B13*$D13*$E13^(I$2-1),0.01),0)</f>
        <v>0.38</v>
      </c>
      <c r="J13" s="39">
        <f>IF(CEILING($B13*$D13/3,1)&gt;=J$2,CEILING($F$1*IF($Y$10*$AD$10&gt;=$I$1,1,IF($Y$10*$AD$10&gt;=$H$1,0.5,0))*(1+IF($N$10=$D$1,IF($Y$10*$AD$10&gt;=$K$1,0.4,IF($Y$10*$AD$10&gt;=$J$1,0.2,0)),0))*$B13*$D13*$E13^(J$2-1),0.01),0)</f>
        <v>0.26</v>
      </c>
      <c r="K13" s="39">
        <f>IF(CEILING($B13*$D13/3,1)&gt;=K$2,CEILING($F$1*IF($Y$10*$AD$10&gt;=$I$1,1,IF($Y$10*$AD$10&gt;=$H$1,0.5,0))*(1+IF($N$10=$D$1,IF($Y$10*$AD$10&gt;=$K$1,0.4,IF($Y$10*$AD$10&gt;=$J$1,0.2,0)),0))*$B13*$D13*$E13^(K$2-1),0.01),0)</f>
        <v>0.17</v>
      </c>
      <c r="L13" s="39">
        <f>IF(CEILING($B13*$D13/3,1)&gt;=L$2,CEILING($F$1*IF($Y$10*$AD$10&gt;=$I$1,1,IF($Y$10*$AD$10&gt;=$H$1,0.5,0))*(1+IF($N$10=$D$1,IF($Y$10*$AD$10&gt;=$K$1,0.4,IF($Y$10*$AD$10&gt;=$J$1,0.2,0)),0))*$B13*$D13*$E13^(L$2-1),0.01),0)</f>
        <v>0</v>
      </c>
      <c r="M13" s="39">
        <f>IF(CEILING($B13*$D13/3,1)&gt;=M$2,CEILING($F$1*IF($Y$10*$AD$10&gt;=$I$1,1,IF($Y$10*$AD$10&gt;=$H$1,0.5,0))*(1+IF($N$10=$D$1,IF($Y$10*$AD$10&gt;=$K$1,0.4,IF($Y$10*$AD$10&gt;=$J$1,0.2,0)),0))*$B13*$D13*$E13^(M$2-1),0.01),0)</f>
        <v>0</v>
      </c>
      <c r="N13" s="39">
        <f>IF(CEILING($B13*$D13/3,1)&gt;=N$2,CEILING($F$1*IF($Y$10*$AD$10&gt;=$I$1,1,IF($Y$10*$AD$10&gt;=$H$1,0.5,0))*(1+IF($N$10=$D$1,IF($Y$10*$AD$10&gt;=$K$1,0.4,IF($Y$10*$AD$10&gt;=$J$1,0.2,0)),0))*$B13*$D13*$E13^(N$2-1),0.01),0)</f>
        <v>0</v>
      </c>
      <c r="O13" s="39">
        <f>IF(CEILING($B13*$D13/3,1)&gt;=O$2,CEILING($F$1*IF($Y$10*$AD$10&gt;=$I$1,1,IF($Y$10*$AD$10&gt;=$H$1,0.5,0))*(1+IF($N$10=$D$1,IF($Y$10*$AD$10&gt;=$K$1,0.4,IF($Y$10*$AD$10&gt;=$J$1,0.2,0)),0))*$B13*$D13*$E13^(O$2-1),0.01),0)</f>
        <v>0</v>
      </c>
      <c r="P13" s="39">
        <f>IF(CEILING($B13*$D13/3,1)&gt;=P$2,CEILING($F$1*IF($Y$10*$AD$10&gt;=$I$1,1,IF($Y$10*$AD$10&gt;=$H$1,0.5,0))*(1+IF($N$10=$D$1,IF($Y$10*$AD$10&gt;=$K$1,0.4,IF($Y$10*$AD$10&gt;=$J$1,0.2,0)),0))*$B13*$D13*$E13^(P$2-1),0.01),0)</f>
        <v>0</v>
      </c>
      <c r="Q13" s="39">
        <f>IF(CEILING($B13*$D13/3,1)&gt;=Q$2,CEILING($F$1*IF($Y$10*$AD$10&gt;=$I$1,1,IF($Y$10*$AD$10&gt;=$H$1,0.5,0))*(1+IF($N$10=$D$1,IF($Y$10*$AD$10&gt;=$K$1,0.4,IF($Y$10*$AD$10&gt;=$J$1,0.2,0)),0))*$B13*$D13*$E13^(Q$2-1),0.01),0)</f>
        <v>0</v>
      </c>
      <c r="R13" s="39">
        <f>IF(CEILING($B13*$D13/3,1)&gt;=R$2,CEILING($F$1*IF($Y$10*$AD$10&gt;=$I$1,1,IF($Y$10*$AD$10&gt;=$H$1,0.5,0))*(1+IF($N$10=$D$1,IF($Y$10*$AD$10&gt;=$K$1,0.4,IF($Y$10*$AD$10&gt;=$J$1,0.2,0)),0))*$B13*$D13*$E13^(R$2-1),0.01),0)</f>
        <v>0</v>
      </c>
      <c r="S13" s="39">
        <f>IF(CEILING($B13*$D13/3,1)&gt;=S$2,CEILING($F$1*IF($Y$10*$AD$10&gt;=$I$1,1,IF($Y$10*$AD$10&gt;=$H$1,0.5,0))*(1+IF($N$10=$D$1,IF($Y$10*$AD$10&gt;=$K$1,0.4,IF($Y$10*$AD$10&gt;=$J$1,0.2,0)),0))*$B13*$D13*$E13^(S$2-1),0.01),0)</f>
        <v>0</v>
      </c>
      <c r="T13" s="39">
        <f>IF(CEILING($B13*$D13/3,1)&gt;=T$2,CEILING($F$1*IF($Y$10*$AD$10&gt;=$I$1,1,IF($Y$10*$AD$10&gt;=$H$1,0.5,0))*(1+IF($N$10=$D$1,IF($Y$10*$AD$10&gt;=$K$1,0.4,IF($Y$10*$AD$10&gt;=$J$1,0.2,0)),0))*$B13*$D13*$E13^(T$2-1),0.01),0)</f>
        <v>0</v>
      </c>
      <c r="U13" s="39">
        <f>IF(CEILING($B13*$D13/3,1)&gt;=U$2,CEILING($F$1*IF($Y$10*$AD$10&gt;=$I$1,1,IF($Y$10*$AD$10&gt;=$H$1,0.5,0))*(1+IF($N$10=$D$1,IF($Y$10*$AD$10&gt;=$K$1,0.4,IF($Y$10*$AD$10&gt;=$J$1,0.2,0)),0))*$B13*$D13*$E13^(U$2-1),0.01),0)</f>
        <v>0</v>
      </c>
      <c r="V13" s="39">
        <f>IF(CEILING($B13*$D13/3,1)&gt;=V$2,CEILING($F$1*IF($Y$10*$AD$10&gt;=$I$1,1,IF($Y$10*$AD$10&gt;=$H$1,0.5,0))*(1+IF($N$10=$D$1,IF($Y$10*$AD$10&gt;=$K$1,0.4,IF($Y$10*$AD$10&gt;=$J$1,0.2,0)),0))*$B13*$D13*$E13^(V$2-1),0.01),0)</f>
        <v>0</v>
      </c>
      <c r="W13" s="39">
        <f>IF(CEILING($B13*$D13/3,1)&gt;=W$2,CEILING($F$1*IF($Y$10*$AD$10&gt;=$I$1,1,IF($Y$10*$AD$10&gt;=$H$1,0.5,0))*(1+IF($N$10=$D$1,IF($Y$10*$AD$10&gt;=$K$1,0.4,IF($Y$10*$AD$10&gt;=$J$1,0.2,0)),0))*$B13*$D13*$E13^(W$2-1),0.01),0)</f>
        <v>0</v>
      </c>
      <c r="X13" s="39">
        <f>IF(CEILING($B13*$D13/3,1)&gt;=X$2,CEILING($F$1*IF($Y$10*$AD$10&gt;=$I$1,1,IF($Y$10*$AD$10&gt;=$H$1,0.5,0))*(1+IF($N$10=$D$1,IF($Y$10*$AD$10&gt;=$K$1,0.4,IF($Y$10*$AD$10&gt;=$J$1,0.2,0)),0))*$B13*$D13*$E13^(X$2-1),0.01),0)</f>
        <v>0</v>
      </c>
      <c r="Y13" s="39">
        <f>IF(CEILING($B13*$D13/3,1)&gt;=Y$2,CEILING($F$1*IF($Y$10*$AD$10&gt;=$I$1,1,IF($Y$10*$AD$10&gt;=$H$1,0.5,0))*(1+IF($N$10=$D$1,IF($Y$10*$AD$10&gt;=$K$1,0.4,IF($Y$10*$AD$10&gt;=$J$1,0.2,0)),0))*$B13*$D13*$E13^(Y$2-1),0.01),0)</f>
        <v>0</v>
      </c>
      <c r="Z13" s="39">
        <f>IF(CEILING($B13*$D13/3,1)&gt;=Z$2,CEILING($F$1*IF($Y$10*$AD$10&gt;=$I$1,1,IF($Y$10*$AD$10&gt;=$H$1,0.5,0))*(1+IF($N$10=$D$1,IF($Y$10*$AD$10&gt;=$K$1,0.4,IF($Y$10*$AD$10&gt;=$J$1,0.2,0)),0))*$B13*$D13*$E13^(Z$2-1),0.01),0)</f>
        <v>0</v>
      </c>
      <c r="AA13" s="39">
        <f>IF(CEILING($B13*$D13/3,1)&gt;=AA$2,CEILING($F$1*IF($Y$10*$AD$10&gt;=$I$1,1,IF($Y$10*$AD$10&gt;=$H$1,0.5,0))*(1+IF($N$10=$D$1,IF($Y$10*$AD$10&gt;=$K$1,0.4,IF($Y$10*$AD$10&gt;=$J$1,0.2,0)),0))*$B13*$D13*$E13^(AA$2-1),0.01),0)</f>
        <v>0</v>
      </c>
      <c r="AB13" s="39">
        <f>IF(CEILING($B13*$D13/3,1)&gt;=AB$2,CEILING($F$1*IF($Y$10*$AD$10&gt;=$I$1,1,IF($Y$10*$AD$10&gt;=$H$1,0.5,0))*(1+IF($N$10=$D$1,IF($Y$10*$AD$10&gt;=$K$1,0.4,IF($Y$10*$AD$10&gt;=$J$1,0.2,0)),0))*$B13*$D13*$E13^(AB$2-1),0.01),0)</f>
        <v>0</v>
      </c>
      <c r="AC13" s="39">
        <f>IF(CEILING($B13*$D13/3,1)&gt;=AC$2,CEILING($F$1*IF($Y$10*$AD$10&gt;=$I$1,1,IF($Y$10*$AD$10&gt;=$H$1,0.5,0))*(1+IF($N$10=$D$1,IF($Y$10*$AD$10&gt;=$K$1,0.4,IF($Y$10*$AD$10&gt;=$J$1,0.2,0)),0))*$B13*$D13*$E13^(AC$2-1),0.01),0)</f>
        <v>0</v>
      </c>
      <c r="AD13" s="39">
        <f>IF(CEILING($B13*$D13/3,1)&gt;=AD$2,CEILING($F$1*IF($Y$10*$AD$10&gt;=$I$1,1,IF($Y$10*$AD$10&gt;=$H$1,0.5,0))*(1+IF($N$10=$D$1,IF($Y$10*$AD$10&gt;=$K$1,0.4,IF($Y$10*$AD$10&gt;=$J$1,0.2,0)),0))*$B13*$D13*$E13^(AD$2-1),0.01),0)</f>
        <v>0</v>
      </c>
      <c r="AE13" s="39">
        <f>IF(CEILING($B13*$D13/3,1)&gt;=AE$2,CEILING($F$1*IF($Y$10*$AD$10&gt;=$I$1,1,IF($Y$10*$AD$10&gt;=$H$1,0.5,0))*(1+IF($N$10=$D$1,IF($Y$10*$AD$10&gt;=$K$1,0.4,IF($Y$10*$AD$10&gt;=$J$1,0.2,0)),0))*$B13*$D13*$E13^(AE$2-1),0.01),0)</f>
        <v>0</v>
      </c>
      <c r="AF13" s="39">
        <f>IF(CEILING($B13*$D13/3,1)&gt;=AF$2,CEILING($F$1*IF($Y$10*$AD$10&gt;=$I$1,1,IF($Y$10*$AD$10&gt;=$H$1,0.5,0))*(1+IF($N$10=$D$1,IF($Y$10*$AD$10&gt;=$K$1,0.4,IF($Y$10*$AD$10&gt;=$J$1,0.2,0)),0))*$B13*$D13*$E13^(AF$2-1),0.01),0)</f>
        <v>0</v>
      </c>
      <c r="AG13" s="39">
        <f>IF(CEILING($B13*$D13/3,1)&gt;=AG$2,CEILING($F$1*IF($Y$10*$AD$10&gt;=$I$1,1,IF($Y$10*$AD$10&gt;=$H$1,0.5,0))*(1+IF($N$10=$D$1,IF($Y$10*$AD$10&gt;=$K$1,0.4,IF($Y$10*$AD$10&gt;=$J$1,0.2,0)),0))*$B13*$D13*$E13^(AG$2-1),0.01),0)</f>
        <v>0</v>
      </c>
      <c r="AH13" s="39">
        <f>IF(CEILING($B13*$D13/3,1)&gt;=AH$2,CEILING($F$1*IF($Y$10*$AD$10&gt;=$I$1,1,IF($Y$10*$AD$10&gt;=$H$1,0.5,0))*(1+IF($N$10=$D$1,IF($Y$10*$AD$10&gt;=$K$1,0.4,IF($Y$10*$AD$10&gt;=$J$1,0.2,0)),0))*$B13*$D13*$E13^(AH$2-1),0.01),0)</f>
        <v>0</v>
      </c>
      <c r="AI13" s="40">
        <f>IF(CEILING($B13*$D13/3,1)&gt;=AI$2,CEILING($F$1*IF($Y$10*$AD$10&gt;=$I$1,1,IF($Y$10*$AD$10&gt;=$H$1,0.5,0))*(1+IF($N$10=$D$1,IF($Y$10*$AD$10&gt;=$K$1,0.4,IF($Y$10*$AD$10&gt;=$J$1,0.2,0)),0))*$B13*$D13*$E13^(AI$2-1),0.01),0)</f>
        <v>0</v>
      </c>
    </row>
    <row r="14" spans="1:35" x14ac:dyDescent="0.25">
      <c r="A14" s="58"/>
      <c r="B14" s="60"/>
      <c r="C14" s="6"/>
      <c r="D14" s="68"/>
      <c r="E14" s="64"/>
      <c r="F14" s="41"/>
      <c r="G14" s="41"/>
      <c r="H14" s="41"/>
      <c r="I14" s="41"/>
      <c r="J14" s="42"/>
      <c r="K14" s="42"/>
      <c r="L14" s="42"/>
      <c r="M14" s="42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3"/>
    </row>
    <row r="15" spans="1:35" x14ac:dyDescent="0.25">
      <c r="A15" s="58"/>
      <c r="B15" s="60"/>
      <c r="C15" s="6"/>
      <c r="D15" s="68"/>
      <c r="E15" s="64"/>
      <c r="F15" s="133" t="s">
        <v>11</v>
      </c>
      <c r="G15" s="134"/>
      <c r="H15" s="134"/>
      <c r="I15" s="36">
        <v>4</v>
      </c>
      <c r="J15" s="135" t="s">
        <v>3</v>
      </c>
      <c r="K15" s="135"/>
      <c r="L15" s="135"/>
      <c r="M15" s="135"/>
      <c r="N15" s="130" t="s">
        <v>5</v>
      </c>
      <c r="O15" s="130"/>
      <c r="P15" s="132" t="s">
        <v>1</v>
      </c>
      <c r="Q15" s="132"/>
      <c r="R15" s="132"/>
      <c r="S15" s="132"/>
      <c r="T15" s="15">
        <v>20</v>
      </c>
      <c r="U15" s="132" t="s">
        <v>2</v>
      </c>
      <c r="V15" s="132"/>
      <c r="W15" s="132"/>
      <c r="X15" s="132"/>
      <c r="Y15" s="15">
        <v>19</v>
      </c>
      <c r="Z15" s="132" t="s">
        <v>4</v>
      </c>
      <c r="AA15" s="132"/>
      <c r="AB15" s="132"/>
      <c r="AC15" s="132"/>
      <c r="AD15" s="15">
        <v>3</v>
      </c>
      <c r="AE15" s="37"/>
      <c r="AF15" s="37"/>
      <c r="AG15" s="37"/>
      <c r="AH15" s="37"/>
      <c r="AI15" s="38"/>
    </row>
    <row r="16" spans="1:35" x14ac:dyDescent="0.25">
      <c r="A16" s="58">
        <v>1</v>
      </c>
      <c r="B16" s="60">
        <v>1.1499999999999999</v>
      </c>
      <c r="C16" s="16">
        <v>0</v>
      </c>
      <c r="D16" s="67">
        <f>CEILING(1+MIN(Y$15,T$15-C16-1)+MAX((T$15-C16-1-Y$15)/$M$1,0),1)</f>
        <v>20</v>
      </c>
      <c r="E16" s="63">
        <f>MAX(($G$1/($F$1*D16))^(1/(ROUNDUP(D16/3,)-1)),2/3)</f>
        <v>0.66666666666666663</v>
      </c>
      <c r="F16" s="39">
        <f>IF(CEILING($B16*$D16/3,1)&gt;=F$2,CEILING($F$1*IF($Y$15*$AD$15&gt;=$I$1,1,IF($Y$15*$AD$15&gt;=$H$1,0.5,0))*(1+IF($N$15=$D$1,IF($Y$15*$AD$15&gt;=$K$1,0.4,IF($Y$15*$AD$15&gt;=$J$1,0.2,0)),0))*$B16*$D16*$E16^(F$2-1),0.01),0)</f>
        <v>1.73</v>
      </c>
      <c r="G16" s="39">
        <f>IF(CEILING($B16*$D16/3,1)&gt;=G$2,CEILING($F$1*IF($Y$15*$AD$15&gt;=$I$1,1,IF($Y$15*$AD$15&gt;=$H$1,0.5,0))*(1+IF($N$15=$D$1,IF($Y$15*$AD$15&gt;=$K$1,0.4,IF($Y$15*$AD$15&gt;=$J$1,0.2,0)),0))*$B16*$D16*$E16^(G$2-1),0.01),0)</f>
        <v>1.1500000000000001</v>
      </c>
      <c r="H16" s="39">
        <f>IF(CEILING($B16*$D16/3,1)&gt;=H$2,CEILING($F$1*IF($Y$15*$AD$15&gt;=$I$1,1,IF($Y$15*$AD$15&gt;=$H$1,0.5,0))*(1+IF($N$15=$D$1,IF($Y$15*$AD$15&gt;=$K$1,0.4,IF($Y$15*$AD$15&gt;=$J$1,0.2,0)),0))*$B16*$D16*$E16^(H$2-1),0.01),0)</f>
        <v>0.77</v>
      </c>
      <c r="I16" s="39">
        <f>IF(CEILING($B16*$D16/3,1)&gt;=I$2,CEILING($F$1*IF($Y$15*$AD$15&gt;=$I$1,1,IF($Y$15*$AD$15&gt;=$H$1,0.5,0))*(1+IF($N$15=$D$1,IF($Y$15*$AD$15&gt;=$K$1,0.4,IF($Y$15*$AD$15&gt;=$J$1,0.2,0)),0))*$B16*$D16*$E16^(I$2-1),0.01),0)</f>
        <v>0.52</v>
      </c>
      <c r="J16" s="39">
        <f>IF(CEILING($B16*$D16/3,1)&gt;=J$2,CEILING($F$1*IF($Y$15*$AD$15&gt;=$I$1,1,IF($Y$15*$AD$15&gt;=$H$1,0.5,0))*(1+IF($N$15=$D$1,IF($Y$15*$AD$15&gt;=$K$1,0.4,IF($Y$15*$AD$15&gt;=$J$1,0.2,0)),0))*$B16*$D16*$E16^(J$2-1),0.01),0)</f>
        <v>0.35000000000000003</v>
      </c>
      <c r="K16" s="39">
        <f>IF(CEILING($B16*$D16/3,1)&gt;=K$2,CEILING($F$1*IF($Y$15*$AD$15&gt;=$I$1,1,IF($Y$15*$AD$15&gt;=$H$1,0.5,0))*(1+IF($N$15=$D$1,IF($Y$15*$AD$15&gt;=$K$1,0.4,IF($Y$15*$AD$15&gt;=$J$1,0.2,0)),0))*$B16*$D16*$E16^(K$2-1),0.01),0)</f>
        <v>0.23</v>
      </c>
      <c r="L16" s="39">
        <f>IF(CEILING($B16*$D16/3,1)&gt;=L$2,CEILING($F$1*IF($Y$15*$AD$15&gt;=$I$1,1,IF($Y$15*$AD$15&gt;=$H$1,0.5,0))*(1+IF($N$15=$D$1,IF($Y$15*$AD$15&gt;=$K$1,0.4,IF($Y$15*$AD$15&gt;=$J$1,0.2,0)),0))*$B16*$D16*$E16^(L$2-1),0.01),0)</f>
        <v>0.16</v>
      </c>
      <c r="M16" s="39">
        <f>IF(CEILING($B16*$D16/3,1)&gt;=M$2,CEILING($F$1*IF($Y$15*$AD$15&gt;=$I$1,1,IF($Y$15*$AD$15&gt;=$H$1,0.5,0))*(1+IF($N$15=$D$1,IF($Y$15*$AD$15&gt;=$K$1,0.4,IF($Y$15*$AD$15&gt;=$J$1,0.2,0)),0))*$B16*$D16*$E16^(M$2-1),0.01),0)</f>
        <v>0.11</v>
      </c>
      <c r="N16" s="39">
        <f>IF(CEILING($B16*$D16/3,1)&gt;=N$2,CEILING($F$1*IF($Y$15*$AD$15&gt;=$I$1,1,IF($Y$15*$AD$15&gt;=$H$1,0.5,0))*(1+IF($N$15=$D$1,IF($Y$15*$AD$15&gt;=$K$1,0.4,IF($Y$15*$AD$15&gt;=$J$1,0.2,0)),0))*$B16*$D16*$E16^(N$2-1),0.01),0)</f>
        <v>0</v>
      </c>
      <c r="O16" s="39">
        <f>IF(CEILING($B16*$D16/3,1)&gt;=O$2,CEILING($F$1*IF($Y$15*$AD$15&gt;=$I$1,1,IF($Y$15*$AD$15&gt;=$H$1,0.5,0))*(1+IF($N$15=$D$1,IF($Y$15*$AD$15&gt;=$K$1,0.4,IF($Y$15*$AD$15&gt;=$J$1,0.2,0)),0))*$B16*$D16*$E16^(O$2-1),0.01),0)</f>
        <v>0</v>
      </c>
      <c r="P16" s="39">
        <f>IF(CEILING($B16*$D16/3,1)&gt;=P$2,CEILING($F$1*IF($Y$15*$AD$15&gt;=$I$1,1,IF($Y$15*$AD$15&gt;=$H$1,0.5,0))*(1+IF($N$15=$D$1,IF($Y$15*$AD$15&gt;=$K$1,0.4,IF($Y$15*$AD$15&gt;=$J$1,0.2,0)),0))*$B16*$D16*$E16^(P$2-1),0.01),0)</f>
        <v>0</v>
      </c>
      <c r="Q16" s="39">
        <f>IF(CEILING($B16*$D16/3,1)&gt;=Q$2,CEILING($F$1*IF($Y$15*$AD$15&gt;=$I$1,1,IF($Y$15*$AD$15&gt;=$H$1,0.5,0))*(1+IF($N$15=$D$1,IF($Y$15*$AD$15&gt;=$K$1,0.4,IF($Y$15*$AD$15&gt;=$J$1,0.2,0)),0))*$B16*$D16*$E16^(Q$2-1),0.01),0)</f>
        <v>0</v>
      </c>
      <c r="R16" s="39">
        <f>IF(CEILING($B16*$D16/3,1)&gt;=R$2,CEILING($F$1*IF($Y$15*$AD$15&gt;=$I$1,1,IF($Y$15*$AD$15&gt;=$H$1,0.5,0))*(1+IF($N$15=$D$1,IF($Y$15*$AD$15&gt;=$K$1,0.4,IF($Y$15*$AD$15&gt;=$J$1,0.2,0)),0))*$B16*$D16*$E16^(R$2-1),0.01),0)</f>
        <v>0</v>
      </c>
      <c r="S16" s="39">
        <f>IF(CEILING($B16*$D16/3,1)&gt;=S$2,CEILING($F$1*IF($Y$15*$AD$15&gt;=$I$1,1,IF($Y$15*$AD$15&gt;=$H$1,0.5,0))*(1+IF($N$15=$D$1,IF($Y$15*$AD$15&gt;=$K$1,0.4,IF($Y$15*$AD$15&gt;=$J$1,0.2,0)),0))*$B16*$D16*$E16^(S$2-1),0.01),0)</f>
        <v>0</v>
      </c>
      <c r="T16" s="39">
        <f>IF(CEILING($B16*$D16/3,1)&gt;=T$2,CEILING($F$1*IF($Y$15*$AD$15&gt;=$I$1,1,IF($Y$15*$AD$15&gt;=$H$1,0.5,0))*(1+IF($N$15=$D$1,IF($Y$15*$AD$15&gt;=$K$1,0.4,IF($Y$15*$AD$15&gt;=$J$1,0.2,0)),0))*$B16*$D16*$E16^(T$2-1),0.01),0)</f>
        <v>0</v>
      </c>
      <c r="U16" s="39">
        <f>IF(CEILING($B16*$D16/3,1)&gt;=U$2,CEILING($F$1*IF($Y$15*$AD$15&gt;=$I$1,1,IF($Y$15*$AD$15&gt;=$H$1,0.5,0))*(1+IF($N$15=$D$1,IF($Y$15*$AD$15&gt;=$K$1,0.4,IF($Y$15*$AD$15&gt;=$J$1,0.2,0)),0))*$B16*$D16*$E16^(U$2-1),0.01),0)</f>
        <v>0</v>
      </c>
      <c r="V16" s="39">
        <f>IF(CEILING($B16*$D16/3,1)&gt;=V$2,CEILING($F$1*IF($Y$15*$AD$15&gt;=$I$1,1,IF($Y$15*$AD$15&gt;=$H$1,0.5,0))*(1+IF($N$15=$D$1,IF($Y$15*$AD$15&gt;=$K$1,0.4,IF($Y$15*$AD$15&gt;=$J$1,0.2,0)),0))*$B16*$D16*$E16^(V$2-1),0.01),0)</f>
        <v>0</v>
      </c>
      <c r="W16" s="39">
        <f>IF(CEILING($B16*$D16/3,1)&gt;=W$2,CEILING($F$1*IF($Y$15*$AD$15&gt;=$I$1,1,IF($Y$15*$AD$15&gt;=$H$1,0.5,0))*(1+IF($N$15=$D$1,IF($Y$15*$AD$15&gt;=$K$1,0.4,IF($Y$15*$AD$15&gt;=$J$1,0.2,0)),0))*$B16*$D16*$E16^(W$2-1),0.01),0)</f>
        <v>0</v>
      </c>
      <c r="X16" s="39">
        <f>IF(CEILING($B16*$D16/3,1)&gt;=X$2,CEILING($F$1*IF($Y$15*$AD$15&gt;=$I$1,1,IF($Y$15*$AD$15&gt;=$H$1,0.5,0))*(1+IF($N$15=$D$1,IF($Y$15*$AD$15&gt;=$K$1,0.4,IF($Y$15*$AD$15&gt;=$J$1,0.2,0)),0))*$B16*$D16*$E16^(X$2-1),0.01),0)</f>
        <v>0</v>
      </c>
      <c r="Y16" s="39">
        <f>IF(CEILING($B16*$D16/3,1)&gt;=Y$2,CEILING($F$1*IF($Y$15*$AD$15&gt;=$I$1,1,IF($Y$15*$AD$15&gt;=$H$1,0.5,0))*(1+IF($N$15=$D$1,IF($Y$15*$AD$15&gt;=$K$1,0.4,IF($Y$15*$AD$15&gt;=$J$1,0.2,0)),0))*$B16*$D16*$E16^(Y$2-1),0.01),0)</f>
        <v>0</v>
      </c>
      <c r="Z16" s="39">
        <f>IF(CEILING($B16*$D16/3,1)&gt;=Z$2,CEILING($F$1*IF($Y$15*$AD$15&gt;=$I$1,1,IF($Y$15*$AD$15&gt;=$H$1,0.5,0))*(1+IF($N$15=$D$1,IF($Y$15*$AD$15&gt;=$K$1,0.4,IF($Y$15*$AD$15&gt;=$J$1,0.2,0)),0))*$B16*$D16*$E16^(Z$2-1),0.01),0)</f>
        <v>0</v>
      </c>
      <c r="AA16" s="39">
        <f>IF(CEILING($B16*$D16/3,1)&gt;=AA$2,CEILING($F$1*IF($Y$15*$AD$15&gt;=$I$1,1,IF($Y$15*$AD$15&gt;=$H$1,0.5,0))*(1+IF($N$15=$D$1,IF($Y$15*$AD$15&gt;=$K$1,0.4,IF($Y$15*$AD$15&gt;=$J$1,0.2,0)),0))*$B16*$D16*$E16^(AA$2-1),0.01),0)</f>
        <v>0</v>
      </c>
      <c r="AB16" s="39">
        <f>IF(CEILING($B16*$D16/3,1)&gt;=AB$2,CEILING($F$1*IF($Y$15*$AD$15&gt;=$I$1,1,IF($Y$15*$AD$15&gt;=$H$1,0.5,0))*(1+IF($N$15=$D$1,IF($Y$15*$AD$15&gt;=$K$1,0.4,IF($Y$15*$AD$15&gt;=$J$1,0.2,0)),0))*$B16*$D16*$E16^(AB$2-1),0.01),0)</f>
        <v>0</v>
      </c>
      <c r="AC16" s="39">
        <f>IF(CEILING($B16*$D16/3,1)&gt;=AC$2,CEILING($F$1*IF($Y$15*$AD$15&gt;=$I$1,1,IF($Y$15*$AD$15&gt;=$H$1,0.5,0))*(1+IF($N$15=$D$1,IF($Y$15*$AD$15&gt;=$K$1,0.4,IF($Y$15*$AD$15&gt;=$J$1,0.2,0)),0))*$B16*$D16*$E16^(AC$2-1),0.01),0)</f>
        <v>0</v>
      </c>
      <c r="AD16" s="39">
        <f>IF(CEILING($B16*$D16/3,1)&gt;=AD$2,CEILING($F$1*IF($Y$15*$AD$15&gt;=$I$1,1,IF($Y$15*$AD$15&gt;=$H$1,0.5,0))*(1+IF($N$15=$D$1,IF($Y$15*$AD$15&gt;=$K$1,0.4,IF($Y$15*$AD$15&gt;=$J$1,0.2,0)),0))*$B16*$D16*$E16^(AD$2-1),0.01),0)</f>
        <v>0</v>
      </c>
      <c r="AE16" s="39">
        <f>IF(CEILING($B16*$D16/3,1)&gt;=AE$2,CEILING($F$1*IF($Y$15*$AD$15&gt;=$I$1,1,IF($Y$15*$AD$15&gt;=$H$1,0.5,0))*(1+IF($N$15=$D$1,IF($Y$15*$AD$15&gt;=$K$1,0.4,IF($Y$15*$AD$15&gt;=$J$1,0.2,0)),0))*$B16*$D16*$E16^(AE$2-1),0.01),0)</f>
        <v>0</v>
      </c>
      <c r="AF16" s="39">
        <f>IF(CEILING($B16*$D16/3,1)&gt;=AF$2,CEILING($F$1*IF($Y$15*$AD$15&gt;=$I$1,1,IF($Y$15*$AD$15&gt;=$H$1,0.5,0))*(1+IF($N$15=$D$1,IF($Y$15*$AD$15&gt;=$K$1,0.4,IF($Y$15*$AD$15&gt;=$J$1,0.2,0)),0))*$B16*$D16*$E16^(AF$2-1),0.01),0)</f>
        <v>0</v>
      </c>
      <c r="AG16" s="39">
        <f>IF(CEILING($B16*$D16/3,1)&gt;=AG$2,CEILING($F$1*IF($Y$15*$AD$15&gt;=$I$1,1,IF($Y$15*$AD$15&gt;=$H$1,0.5,0))*(1+IF($N$15=$D$1,IF($Y$15*$AD$15&gt;=$K$1,0.4,IF($Y$15*$AD$15&gt;=$J$1,0.2,0)),0))*$B16*$D16*$E16^(AG$2-1),0.01),0)</f>
        <v>0</v>
      </c>
      <c r="AH16" s="39">
        <f>IF(CEILING($B16*$D16/3,1)&gt;=AH$2,CEILING($F$1*IF($Y$15*$AD$15&gt;=$I$1,1,IF($Y$15*$AD$15&gt;=$H$1,0.5,0))*(1+IF($N$15=$D$1,IF($Y$15*$AD$15&gt;=$K$1,0.4,IF($Y$15*$AD$15&gt;=$J$1,0.2,0)),0))*$B16*$D16*$E16^(AH$2-1),0.01),0)</f>
        <v>0</v>
      </c>
      <c r="AI16" s="40">
        <f>IF(CEILING($B16*$D16/3,1)&gt;=AI$2,CEILING($F$1*IF($Y$15*$AD$15&gt;=$I$1,1,IF($Y$15*$AD$15&gt;=$H$1,0.5,0))*(1+IF($N$15=$D$1,IF($Y$15*$AD$15&gt;=$K$1,0.4,IF($Y$15*$AD$15&gt;=$J$1,0.2,0)),0))*$B16*$D16*$E16^(AI$2-1),0.01),0)</f>
        <v>0</v>
      </c>
    </row>
    <row r="17" spans="1:35" x14ac:dyDescent="0.25">
      <c r="A17" s="58">
        <v>2</v>
      </c>
      <c r="B17" s="60">
        <v>1.05</v>
      </c>
      <c r="C17" s="16">
        <v>0</v>
      </c>
      <c r="D17" s="67">
        <f>CEILING(1+MIN(Y$15,T$15-C17-1)+MAX((T$15-C17-1-Y$15)/$M$1,0),1)</f>
        <v>20</v>
      </c>
      <c r="E17" s="63">
        <f>MAX(($G$1/($F$1*D17))^(1/(ROUNDUP(D17/3,)-1)),2/3)</f>
        <v>0.66666666666666663</v>
      </c>
      <c r="F17" s="39">
        <f>IF(CEILING($B17*$D17/3,1)&gt;=F$2,CEILING($F$1*IF($Y$15*$AD$15&gt;=$I$1,1,IF($Y$15*$AD$15&gt;=$H$1,0.5,0))*(1+IF($N$15=$D$1,IF($Y$15*$AD$15&gt;=$K$1,0.4,IF($Y$15*$AD$15&gt;=$J$1,0.2,0)),0))*$B17*$D17*$E17^(F$2-1),0.01),0)</f>
        <v>1.58</v>
      </c>
      <c r="G17" s="39">
        <f>IF(CEILING($B17*$D17/3,1)&gt;=G$2,CEILING($F$1*IF($Y$15*$AD$15&gt;=$I$1,1,IF($Y$15*$AD$15&gt;=$H$1,0.5,0))*(1+IF($N$15=$D$1,IF($Y$15*$AD$15&gt;=$K$1,0.4,IF($Y$15*$AD$15&gt;=$J$1,0.2,0)),0))*$B17*$D17*$E17^(G$2-1),0.01),0)</f>
        <v>1.05</v>
      </c>
      <c r="H17" s="39">
        <f>IF(CEILING($B17*$D17/3,1)&gt;=H$2,CEILING($F$1*IF($Y$15*$AD$15&gt;=$I$1,1,IF($Y$15*$AD$15&gt;=$H$1,0.5,0))*(1+IF($N$15=$D$1,IF($Y$15*$AD$15&gt;=$K$1,0.4,IF($Y$15*$AD$15&gt;=$J$1,0.2,0)),0))*$B17*$D17*$E17^(H$2-1),0.01),0)</f>
        <v>0.70000000000000007</v>
      </c>
      <c r="I17" s="39">
        <f>IF(CEILING($B17*$D17/3,1)&gt;=I$2,CEILING($F$1*IF($Y$15*$AD$15&gt;=$I$1,1,IF($Y$15*$AD$15&gt;=$H$1,0.5,0))*(1+IF($N$15=$D$1,IF($Y$15*$AD$15&gt;=$K$1,0.4,IF($Y$15*$AD$15&gt;=$J$1,0.2,0)),0))*$B17*$D17*$E17^(I$2-1),0.01),0)</f>
        <v>0.47000000000000003</v>
      </c>
      <c r="J17" s="39">
        <f>IF(CEILING($B17*$D17/3,1)&gt;=J$2,CEILING($F$1*IF($Y$15*$AD$15&gt;=$I$1,1,IF($Y$15*$AD$15&gt;=$H$1,0.5,0))*(1+IF($N$15=$D$1,IF($Y$15*$AD$15&gt;=$K$1,0.4,IF($Y$15*$AD$15&gt;=$J$1,0.2,0)),0))*$B17*$D17*$E17^(J$2-1),0.01),0)</f>
        <v>0.32</v>
      </c>
      <c r="K17" s="39">
        <f>IF(CEILING($B17*$D17/3,1)&gt;=K$2,CEILING($F$1*IF($Y$15*$AD$15&gt;=$I$1,1,IF($Y$15*$AD$15&gt;=$H$1,0.5,0))*(1+IF($N$15=$D$1,IF($Y$15*$AD$15&gt;=$K$1,0.4,IF($Y$15*$AD$15&gt;=$J$1,0.2,0)),0))*$B17*$D17*$E17^(K$2-1),0.01),0)</f>
        <v>0.21</v>
      </c>
      <c r="L17" s="39">
        <f>IF(CEILING($B17*$D17/3,1)&gt;=L$2,CEILING($F$1*IF($Y$15*$AD$15&gt;=$I$1,1,IF($Y$15*$AD$15&gt;=$H$1,0.5,0))*(1+IF($N$15=$D$1,IF($Y$15*$AD$15&gt;=$K$1,0.4,IF($Y$15*$AD$15&gt;=$J$1,0.2,0)),0))*$B17*$D17*$E17^(L$2-1),0.01),0)</f>
        <v>0.14000000000000001</v>
      </c>
      <c r="M17" s="39">
        <f>IF(CEILING($B17*$D17/3,1)&gt;=M$2,CEILING($F$1*IF($Y$15*$AD$15&gt;=$I$1,1,IF($Y$15*$AD$15&gt;=$H$1,0.5,0))*(1+IF($N$15=$D$1,IF($Y$15*$AD$15&gt;=$K$1,0.4,IF($Y$15*$AD$15&gt;=$J$1,0.2,0)),0))*$B17*$D17*$E17^(M$2-1),0.01),0)</f>
        <v>0</v>
      </c>
      <c r="N17" s="39">
        <f>IF(CEILING($B17*$D17/3,1)&gt;=N$2,CEILING($F$1*IF($Y$15*$AD$15&gt;=$I$1,1,IF($Y$15*$AD$15&gt;=$H$1,0.5,0))*(1+IF($N$15=$D$1,IF($Y$15*$AD$15&gt;=$K$1,0.4,IF($Y$15*$AD$15&gt;=$J$1,0.2,0)),0))*$B17*$D17*$E17^(N$2-1),0.01),0)</f>
        <v>0</v>
      </c>
      <c r="O17" s="39">
        <f>IF(CEILING($B17*$D17/3,1)&gt;=O$2,CEILING($F$1*IF($Y$15*$AD$15&gt;=$I$1,1,IF($Y$15*$AD$15&gt;=$H$1,0.5,0))*(1+IF($N$15=$D$1,IF($Y$15*$AD$15&gt;=$K$1,0.4,IF($Y$15*$AD$15&gt;=$J$1,0.2,0)),0))*$B17*$D17*$E17^(O$2-1),0.01),0)</f>
        <v>0</v>
      </c>
      <c r="P17" s="39">
        <f>IF(CEILING($B17*$D17/3,1)&gt;=P$2,CEILING($F$1*IF($Y$15*$AD$15&gt;=$I$1,1,IF($Y$15*$AD$15&gt;=$H$1,0.5,0))*(1+IF($N$15=$D$1,IF($Y$15*$AD$15&gt;=$K$1,0.4,IF($Y$15*$AD$15&gt;=$J$1,0.2,0)),0))*$B17*$D17*$E17^(P$2-1),0.01),0)</f>
        <v>0</v>
      </c>
      <c r="Q17" s="39">
        <f>IF(CEILING($B17*$D17/3,1)&gt;=Q$2,CEILING($F$1*IF($Y$15*$AD$15&gt;=$I$1,1,IF($Y$15*$AD$15&gt;=$H$1,0.5,0))*(1+IF($N$15=$D$1,IF($Y$15*$AD$15&gt;=$K$1,0.4,IF($Y$15*$AD$15&gt;=$J$1,0.2,0)),0))*$B17*$D17*$E17^(Q$2-1),0.01),0)</f>
        <v>0</v>
      </c>
      <c r="R17" s="39">
        <f>IF(CEILING($B17*$D17/3,1)&gt;=R$2,CEILING($F$1*IF($Y$15*$AD$15&gt;=$I$1,1,IF($Y$15*$AD$15&gt;=$H$1,0.5,0))*(1+IF($N$15=$D$1,IF($Y$15*$AD$15&gt;=$K$1,0.4,IF($Y$15*$AD$15&gt;=$J$1,0.2,0)),0))*$B17*$D17*$E17^(R$2-1),0.01),0)</f>
        <v>0</v>
      </c>
      <c r="S17" s="39">
        <f>IF(CEILING($B17*$D17/3,1)&gt;=S$2,CEILING($F$1*IF($Y$15*$AD$15&gt;=$I$1,1,IF($Y$15*$AD$15&gt;=$H$1,0.5,0))*(1+IF($N$15=$D$1,IF($Y$15*$AD$15&gt;=$K$1,0.4,IF($Y$15*$AD$15&gt;=$J$1,0.2,0)),0))*$B17*$D17*$E17^(S$2-1),0.01),0)</f>
        <v>0</v>
      </c>
      <c r="T17" s="39">
        <f>IF(CEILING($B17*$D17/3,1)&gt;=T$2,CEILING($F$1*IF($Y$15*$AD$15&gt;=$I$1,1,IF($Y$15*$AD$15&gt;=$H$1,0.5,0))*(1+IF($N$15=$D$1,IF($Y$15*$AD$15&gt;=$K$1,0.4,IF($Y$15*$AD$15&gt;=$J$1,0.2,0)),0))*$B17*$D17*$E17^(T$2-1),0.01),0)</f>
        <v>0</v>
      </c>
      <c r="U17" s="39">
        <f>IF(CEILING($B17*$D17/3,1)&gt;=U$2,CEILING($F$1*IF($Y$15*$AD$15&gt;=$I$1,1,IF($Y$15*$AD$15&gt;=$H$1,0.5,0))*(1+IF($N$15=$D$1,IF($Y$15*$AD$15&gt;=$K$1,0.4,IF($Y$15*$AD$15&gt;=$J$1,0.2,0)),0))*$B17*$D17*$E17^(U$2-1),0.01),0)</f>
        <v>0</v>
      </c>
      <c r="V17" s="39">
        <f>IF(CEILING($B17*$D17/3,1)&gt;=V$2,CEILING($F$1*IF($Y$15*$AD$15&gt;=$I$1,1,IF($Y$15*$AD$15&gt;=$H$1,0.5,0))*(1+IF($N$15=$D$1,IF($Y$15*$AD$15&gt;=$K$1,0.4,IF($Y$15*$AD$15&gt;=$J$1,0.2,0)),0))*$B17*$D17*$E17^(V$2-1),0.01),0)</f>
        <v>0</v>
      </c>
      <c r="W17" s="39">
        <f>IF(CEILING($B17*$D17/3,1)&gt;=W$2,CEILING($F$1*IF($Y$15*$AD$15&gt;=$I$1,1,IF($Y$15*$AD$15&gt;=$H$1,0.5,0))*(1+IF($N$15=$D$1,IF($Y$15*$AD$15&gt;=$K$1,0.4,IF($Y$15*$AD$15&gt;=$J$1,0.2,0)),0))*$B17*$D17*$E17^(W$2-1),0.01),0)</f>
        <v>0</v>
      </c>
      <c r="X17" s="39">
        <f>IF(CEILING($B17*$D17/3,1)&gt;=X$2,CEILING($F$1*IF($Y$15*$AD$15&gt;=$I$1,1,IF($Y$15*$AD$15&gt;=$H$1,0.5,0))*(1+IF($N$15=$D$1,IF($Y$15*$AD$15&gt;=$K$1,0.4,IF($Y$15*$AD$15&gt;=$J$1,0.2,0)),0))*$B17*$D17*$E17^(X$2-1),0.01),0)</f>
        <v>0</v>
      </c>
      <c r="Y17" s="39">
        <f>IF(CEILING($B17*$D17/3,1)&gt;=Y$2,CEILING($F$1*IF($Y$15*$AD$15&gt;=$I$1,1,IF($Y$15*$AD$15&gt;=$H$1,0.5,0))*(1+IF($N$15=$D$1,IF($Y$15*$AD$15&gt;=$K$1,0.4,IF($Y$15*$AD$15&gt;=$J$1,0.2,0)),0))*$B17*$D17*$E17^(Y$2-1),0.01),0)</f>
        <v>0</v>
      </c>
      <c r="Z17" s="39">
        <f>IF(CEILING($B17*$D17/3,1)&gt;=Z$2,CEILING($F$1*IF($Y$15*$AD$15&gt;=$I$1,1,IF($Y$15*$AD$15&gt;=$H$1,0.5,0))*(1+IF($N$15=$D$1,IF($Y$15*$AD$15&gt;=$K$1,0.4,IF($Y$15*$AD$15&gt;=$J$1,0.2,0)),0))*$B17*$D17*$E17^(Z$2-1),0.01),0)</f>
        <v>0</v>
      </c>
      <c r="AA17" s="39">
        <f>IF(CEILING($B17*$D17/3,1)&gt;=AA$2,CEILING($F$1*IF($Y$15*$AD$15&gt;=$I$1,1,IF($Y$15*$AD$15&gt;=$H$1,0.5,0))*(1+IF($N$15=$D$1,IF($Y$15*$AD$15&gt;=$K$1,0.4,IF($Y$15*$AD$15&gt;=$J$1,0.2,0)),0))*$B17*$D17*$E17^(AA$2-1),0.01),0)</f>
        <v>0</v>
      </c>
      <c r="AB17" s="39">
        <f>IF(CEILING($B17*$D17/3,1)&gt;=AB$2,CEILING($F$1*IF($Y$15*$AD$15&gt;=$I$1,1,IF($Y$15*$AD$15&gt;=$H$1,0.5,0))*(1+IF($N$15=$D$1,IF($Y$15*$AD$15&gt;=$K$1,0.4,IF($Y$15*$AD$15&gt;=$J$1,0.2,0)),0))*$B17*$D17*$E17^(AB$2-1),0.01),0)</f>
        <v>0</v>
      </c>
      <c r="AC17" s="39">
        <f>IF(CEILING($B17*$D17/3,1)&gt;=AC$2,CEILING($F$1*IF($Y$15*$AD$15&gt;=$I$1,1,IF($Y$15*$AD$15&gt;=$H$1,0.5,0))*(1+IF($N$15=$D$1,IF($Y$15*$AD$15&gt;=$K$1,0.4,IF($Y$15*$AD$15&gt;=$J$1,0.2,0)),0))*$B17*$D17*$E17^(AC$2-1),0.01),0)</f>
        <v>0</v>
      </c>
      <c r="AD17" s="39">
        <f>IF(CEILING($B17*$D17/3,1)&gt;=AD$2,CEILING($F$1*IF($Y$15*$AD$15&gt;=$I$1,1,IF($Y$15*$AD$15&gt;=$H$1,0.5,0))*(1+IF($N$15=$D$1,IF($Y$15*$AD$15&gt;=$K$1,0.4,IF($Y$15*$AD$15&gt;=$J$1,0.2,0)),0))*$B17*$D17*$E17^(AD$2-1),0.01),0)</f>
        <v>0</v>
      </c>
      <c r="AE17" s="39">
        <f>IF(CEILING($B17*$D17/3,1)&gt;=AE$2,CEILING($F$1*IF($Y$15*$AD$15&gt;=$I$1,1,IF($Y$15*$AD$15&gt;=$H$1,0.5,0))*(1+IF($N$15=$D$1,IF($Y$15*$AD$15&gt;=$K$1,0.4,IF($Y$15*$AD$15&gt;=$J$1,0.2,0)),0))*$B17*$D17*$E17^(AE$2-1),0.01),0)</f>
        <v>0</v>
      </c>
      <c r="AF17" s="39">
        <f>IF(CEILING($B17*$D17/3,1)&gt;=AF$2,CEILING($F$1*IF($Y$15*$AD$15&gt;=$I$1,1,IF($Y$15*$AD$15&gt;=$H$1,0.5,0))*(1+IF($N$15=$D$1,IF($Y$15*$AD$15&gt;=$K$1,0.4,IF($Y$15*$AD$15&gt;=$J$1,0.2,0)),0))*$B17*$D17*$E17^(AF$2-1),0.01),0)</f>
        <v>0</v>
      </c>
      <c r="AG17" s="39">
        <f>IF(CEILING($B17*$D17/3,1)&gt;=AG$2,CEILING($F$1*IF($Y$15*$AD$15&gt;=$I$1,1,IF($Y$15*$AD$15&gt;=$H$1,0.5,0))*(1+IF($N$15=$D$1,IF($Y$15*$AD$15&gt;=$K$1,0.4,IF($Y$15*$AD$15&gt;=$J$1,0.2,0)),0))*$B17*$D17*$E17^(AG$2-1),0.01),0)</f>
        <v>0</v>
      </c>
      <c r="AH17" s="39">
        <f>IF(CEILING($B17*$D17/3,1)&gt;=AH$2,CEILING($F$1*IF($Y$15*$AD$15&gt;=$I$1,1,IF($Y$15*$AD$15&gt;=$H$1,0.5,0))*(1+IF($N$15=$D$1,IF($Y$15*$AD$15&gt;=$K$1,0.4,IF($Y$15*$AD$15&gt;=$J$1,0.2,0)),0))*$B17*$D17*$E17^(AH$2-1),0.01),0)</f>
        <v>0</v>
      </c>
      <c r="AI17" s="40">
        <f>IF(CEILING($B17*$D17/3,1)&gt;=AI$2,CEILING($F$1*IF($Y$15*$AD$15&gt;=$I$1,1,IF($Y$15*$AD$15&gt;=$H$1,0.5,0))*(1+IF($N$15=$D$1,IF($Y$15*$AD$15&gt;=$K$1,0.4,IF($Y$15*$AD$15&gt;=$J$1,0.2,0)),0))*$B17*$D17*$E17^(AI$2-1),0.01),0)</f>
        <v>0</v>
      </c>
    </row>
    <row r="18" spans="1:35" x14ac:dyDescent="0.25">
      <c r="A18" s="58">
        <v>3</v>
      </c>
      <c r="B18" s="60">
        <v>0.95</v>
      </c>
      <c r="C18" s="16">
        <v>0</v>
      </c>
      <c r="D18" s="67">
        <f>CEILING(1+MIN(Y$15,T$15-C18-1)+MAX((T$15-C18-1-Y$15)/$M$1,0),1)</f>
        <v>20</v>
      </c>
      <c r="E18" s="63">
        <f>MAX(($G$1/($F$1*D18))^(1/(ROUNDUP(D18/3,)-1)),2/3)</f>
        <v>0.66666666666666663</v>
      </c>
      <c r="F18" s="39">
        <f>IF(CEILING($B18*$D18/3,1)&gt;=F$2,CEILING($F$1*IF($Y$15*$AD$15&gt;=$I$1,1,IF($Y$15*$AD$15&gt;=$H$1,0.5,0))*(1+IF($N$15=$D$1,IF($Y$15*$AD$15&gt;=$K$1,0.4,IF($Y$15*$AD$15&gt;=$J$1,0.2,0)),0))*$B18*$D18*$E18^(F$2-1),0.01),0)</f>
        <v>1.43</v>
      </c>
      <c r="G18" s="39">
        <f>IF(CEILING($B18*$D18/3,1)&gt;=G$2,CEILING($F$1*IF($Y$15*$AD$15&gt;=$I$1,1,IF($Y$15*$AD$15&gt;=$H$1,0.5,0))*(1+IF($N$15=$D$1,IF($Y$15*$AD$15&gt;=$K$1,0.4,IF($Y$15*$AD$15&gt;=$J$1,0.2,0)),0))*$B18*$D18*$E18^(G$2-1),0.01),0)</f>
        <v>0.95000000000000007</v>
      </c>
      <c r="H18" s="39">
        <f>IF(CEILING($B18*$D18/3,1)&gt;=H$2,CEILING($F$1*IF($Y$15*$AD$15&gt;=$I$1,1,IF($Y$15*$AD$15&gt;=$H$1,0.5,0))*(1+IF($N$15=$D$1,IF($Y$15*$AD$15&gt;=$K$1,0.4,IF($Y$15*$AD$15&gt;=$J$1,0.2,0)),0))*$B18*$D18*$E18^(H$2-1),0.01),0)</f>
        <v>0.64</v>
      </c>
      <c r="I18" s="39">
        <f>IF(CEILING($B18*$D18/3,1)&gt;=I$2,CEILING($F$1*IF($Y$15*$AD$15&gt;=$I$1,1,IF($Y$15*$AD$15&gt;=$H$1,0.5,0))*(1+IF($N$15=$D$1,IF($Y$15*$AD$15&gt;=$K$1,0.4,IF($Y$15*$AD$15&gt;=$J$1,0.2,0)),0))*$B18*$D18*$E18^(I$2-1),0.01),0)</f>
        <v>0.43</v>
      </c>
      <c r="J18" s="39">
        <f>IF(CEILING($B18*$D18/3,1)&gt;=J$2,CEILING($F$1*IF($Y$15*$AD$15&gt;=$I$1,1,IF($Y$15*$AD$15&gt;=$H$1,0.5,0))*(1+IF($N$15=$D$1,IF($Y$15*$AD$15&gt;=$K$1,0.4,IF($Y$15*$AD$15&gt;=$J$1,0.2,0)),0))*$B18*$D18*$E18^(J$2-1),0.01),0)</f>
        <v>0.28999999999999998</v>
      </c>
      <c r="K18" s="39">
        <f>IF(CEILING($B18*$D18/3,1)&gt;=K$2,CEILING($F$1*IF($Y$15*$AD$15&gt;=$I$1,1,IF($Y$15*$AD$15&gt;=$H$1,0.5,0))*(1+IF($N$15=$D$1,IF($Y$15*$AD$15&gt;=$K$1,0.4,IF($Y$15*$AD$15&gt;=$J$1,0.2,0)),0))*$B18*$D18*$E18^(K$2-1),0.01),0)</f>
        <v>0.19</v>
      </c>
      <c r="L18" s="39">
        <f>IF(CEILING($B18*$D18/3,1)&gt;=L$2,CEILING($F$1*IF($Y$15*$AD$15&gt;=$I$1,1,IF($Y$15*$AD$15&gt;=$H$1,0.5,0))*(1+IF($N$15=$D$1,IF($Y$15*$AD$15&gt;=$K$1,0.4,IF($Y$15*$AD$15&gt;=$J$1,0.2,0)),0))*$B18*$D18*$E18^(L$2-1),0.01),0)</f>
        <v>0.13</v>
      </c>
      <c r="M18" s="39">
        <f>IF(CEILING($B18*$D18/3,1)&gt;=M$2,CEILING($F$1*IF($Y$15*$AD$15&gt;=$I$1,1,IF($Y$15*$AD$15&gt;=$H$1,0.5,0))*(1+IF($N$15=$D$1,IF($Y$15*$AD$15&gt;=$K$1,0.4,IF($Y$15*$AD$15&gt;=$J$1,0.2,0)),0))*$B18*$D18*$E18^(M$2-1),0.01),0)</f>
        <v>0</v>
      </c>
      <c r="N18" s="39">
        <f>IF(CEILING($B18*$D18/3,1)&gt;=N$2,CEILING($F$1*IF($Y$15*$AD$15&gt;=$I$1,1,IF($Y$15*$AD$15&gt;=$H$1,0.5,0))*(1+IF($N$15=$D$1,IF($Y$15*$AD$15&gt;=$K$1,0.4,IF($Y$15*$AD$15&gt;=$J$1,0.2,0)),0))*$B18*$D18*$E18^(N$2-1),0.01),0)</f>
        <v>0</v>
      </c>
      <c r="O18" s="39">
        <f>IF(CEILING($B18*$D18/3,1)&gt;=O$2,CEILING($F$1*IF($Y$15*$AD$15&gt;=$I$1,1,IF($Y$15*$AD$15&gt;=$H$1,0.5,0))*(1+IF($N$15=$D$1,IF($Y$15*$AD$15&gt;=$K$1,0.4,IF($Y$15*$AD$15&gt;=$J$1,0.2,0)),0))*$B18*$D18*$E18^(O$2-1),0.01),0)</f>
        <v>0</v>
      </c>
      <c r="P18" s="39">
        <f>IF(CEILING($B18*$D18/3,1)&gt;=P$2,CEILING($F$1*IF($Y$15*$AD$15&gt;=$I$1,1,IF($Y$15*$AD$15&gt;=$H$1,0.5,0))*(1+IF($N$15=$D$1,IF($Y$15*$AD$15&gt;=$K$1,0.4,IF($Y$15*$AD$15&gt;=$J$1,0.2,0)),0))*$B18*$D18*$E18^(P$2-1),0.01),0)</f>
        <v>0</v>
      </c>
      <c r="Q18" s="39">
        <f>IF(CEILING($B18*$D18/3,1)&gt;=Q$2,CEILING($F$1*IF($Y$15*$AD$15&gt;=$I$1,1,IF($Y$15*$AD$15&gt;=$H$1,0.5,0))*(1+IF($N$15=$D$1,IF($Y$15*$AD$15&gt;=$K$1,0.4,IF($Y$15*$AD$15&gt;=$J$1,0.2,0)),0))*$B18*$D18*$E18^(Q$2-1),0.01),0)</f>
        <v>0</v>
      </c>
      <c r="R18" s="39">
        <f>IF(CEILING($B18*$D18/3,1)&gt;=R$2,CEILING($F$1*IF($Y$15*$AD$15&gt;=$I$1,1,IF($Y$15*$AD$15&gt;=$H$1,0.5,0))*(1+IF($N$15=$D$1,IF($Y$15*$AD$15&gt;=$K$1,0.4,IF($Y$15*$AD$15&gt;=$J$1,0.2,0)),0))*$B18*$D18*$E18^(R$2-1),0.01),0)</f>
        <v>0</v>
      </c>
      <c r="S18" s="39">
        <f>IF(CEILING($B18*$D18/3,1)&gt;=S$2,CEILING($F$1*IF($Y$15*$AD$15&gt;=$I$1,1,IF($Y$15*$AD$15&gt;=$H$1,0.5,0))*(1+IF($N$15=$D$1,IF($Y$15*$AD$15&gt;=$K$1,0.4,IF($Y$15*$AD$15&gt;=$J$1,0.2,0)),0))*$B18*$D18*$E18^(S$2-1),0.01),0)</f>
        <v>0</v>
      </c>
      <c r="T18" s="39">
        <f>IF(CEILING($B18*$D18/3,1)&gt;=T$2,CEILING($F$1*IF($Y$15*$AD$15&gt;=$I$1,1,IF($Y$15*$AD$15&gt;=$H$1,0.5,0))*(1+IF($N$15=$D$1,IF($Y$15*$AD$15&gt;=$K$1,0.4,IF($Y$15*$AD$15&gt;=$J$1,0.2,0)),0))*$B18*$D18*$E18^(T$2-1),0.01),0)</f>
        <v>0</v>
      </c>
      <c r="U18" s="39">
        <f>IF(CEILING($B18*$D18/3,1)&gt;=U$2,CEILING($F$1*IF($Y$15*$AD$15&gt;=$I$1,1,IF($Y$15*$AD$15&gt;=$H$1,0.5,0))*(1+IF($N$15=$D$1,IF($Y$15*$AD$15&gt;=$K$1,0.4,IF($Y$15*$AD$15&gt;=$J$1,0.2,0)),0))*$B18*$D18*$E18^(U$2-1),0.01),0)</f>
        <v>0</v>
      </c>
      <c r="V18" s="39">
        <f>IF(CEILING($B18*$D18/3,1)&gt;=V$2,CEILING($F$1*IF($Y$15*$AD$15&gt;=$I$1,1,IF($Y$15*$AD$15&gt;=$H$1,0.5,0))*(1+IF($N$15=$D$1,IF($Y$15*$AD$15&gt;=$K$1,0.4,IF($Y$15*$AD$15&gt;=$J$1,0.2,0)),0))*$B18*$D18*$E18^(V$2-1),0.01),0)</f>
        <v>0</v>
      </c>
      <c r="W18" s="39">
        <f>IF(CEILING($B18*$D18/3,1)&gt;=W$2,CEILING($F$1*IF($Y$15*$AD$15&gt;=$I$1,1,IF($Y$15*$AD$15&gt;=$H$1,0.5,0))*(1+IF($N$15=$D$1,IF($Y$15*$AD$15&gt;=$K$1,0.4,IF($Y$15*$AD$15&gt;=$J$1,0.2,0)),0))*$B18*$D18*$E18^(W$2-1),0.01),0)</f>
        <v>0</v>
      </c>
      <c r="X18" s="39">
        <f>IF(CEILING($B18*$D18/3,1)&gt;=X$2,CEILING($F$1*IF($Y$15*$AD$15&gt;=$I$1,1,IF($Y$15*$AD$15&gt;=$H$1,0.5,0))*(1+IF($N$15=$D$1,IF($Y$15*$AD$15&gt;=$K$1,0.4,IF($Y$15*$AD$15&gt;=$J$1,0.2,0)),0))*$B18*$D18*$E18^(X$2-1),0.01),0)</f>
        <v>0</v>
      </c>
      <c r="Y18" s="39">
        <f>IF(CEILING($B18*$D18/3,1)&gt;=Y$2,CEILING($F$1*IF($Y$15*$AD$15&gt;=$I$1,1,IF($Y$15*$AD$15&gt;=$H$1,0.5,0))*(1+IF($N$15=$D$1,IF($Y$15*$AD$15&gt;=$K$1,0.4,IF($Y$15*$AD$15&gt;=$J$1,0.2,0)),0))*$B18*$D18*$E18^(Y$2-1),0.01),0)</f>
        <v>0</v>
      </c>
      <c r="Z18" s="39">
        <f>IF(CEILING($B18*$D18/3,1)&gt;=Z$2,CEILING($F$1*IF($Y$15*$AD$15&gt;=$I$1,1,IF($Y$15*$AD$15&gt;=$H$1,0.5,0))*(1+IF($N$15=$D$1,IF($Y$15*$AD$15&gt;=$K$1,0.4,IF($Y$15*$AD$15&gt;=$J$1,0.2,0)),0))*$B18*$D18*$E18^(Z$2-1),0.01),0)</f>
        <v>0</v>
      </c>
      <c r="AA18" s="39">
        <f>IF(CEILING($B18*$D18/3,1)&gt;=AA$2,CEILING($F$1*IF($Y$15*$AD$15&gt;=$I$1,1,IF($Y$15*$AD$15&gt;=$H$1,0.5,0))*(1+IF($N$15=$D$1,IF($Y$15*$AD$15&gt;=$K$1,0.4,IF($Y$15*$AD$15&gt;=$J$1,0.2,0)),0))*$B18*$D18*$E18^(AA$2-1),0.01),0)</f>
        <v>0</v>
      </c>
      <c r="AB18" s="39">
        <f>IF(CEILING($B18*$D18/3,1)&gt;=AB$2,CEILING($F$1*IF($Y$15*$AD$15&gt;=$I$1,1,IF($Y$15*$AD$15&gt;=$H$1,0.5,0))*(1+IF($N$15=$D$1,IF($Y$15*$AD$15&gt;=$K$1,0.4,IF($Y$15*$AD$15&gt;=$J$1,0.2,0)),0))*$B18*$D18*$E18^(AB$2-1),0.01),0)</f>
        <v>0</v>
      </c>
      <c r="AC18" s="39">
        <f>IF(CEILING($B18*$D18/3,1)&gt;=AC$2,CEILING($F$1*IF($Y$15*$AD$15&gt;=$I$1,1,IF($Y$15*$AD$15&gt;=$H$1,0.5,0))*(1+IF($N$15=$D$1,IF($Y$15*$AD$15&gt;=$K$1,0.4,IF($Y$15*$AD$15&gt;=$J$1,0.2,0)),0))*$B18*$D18*$E18^(AC$2-1),0.01),0)</f>
        <v>0</v>
      </c>
      <c r="AD18" s="39">
        <f>IF(CEILING($B18*$D18/3,1)&gt;=AD$2,CEILING($F$1*IF($Y$15*$AD$15&gt;=$I$1,1,IF($Y$15*$AD$15&gt;=$H$1,0.5,0))*(1+IF($N$15=$D$1,IF($Y$15*$AD$15&gt;=$K$1,0.4,IF($Y$15*$AD$15&gt;=$J$1,0.2,0)),0))*$B18*$D18*$E18^(AD$2-1),0.01),0)</f>
        <v>0</v>
      </c>
      <c r="AE18" s="39">
        <f>IF(CEILING($B18*$D18/3,1)&gt;=AE$2,CEILING($F$1*IF($Y$15*$AD$15&gt;=$I$1,1,IF($Y$15*$AD$15&gt;=$H$1,0.5,0))*(1+IF($N$15=$D$1,IF($Y$15*$AD$15&gt;=$K$1,0.4,IF($Y$15*$AD$15&gt;=$J$1,0.2,0)),0))*$B18*$D18*$E18^(AE$2-1),0.01),0)</f>
        <v>0</v>
      </c>
      <c r="AF18" s="39">
        <f>IF(CEILING($B18*$D18/3,1)&gt;=AF$2,CEILING($F$1*IF($Y$15*$AD$15&gt;=$I$1,1,IF($Y$15*$AD$15&gt;=$H$1,0.5,0))*(1+IF($N$15=$D$1,IF($Y$15*$AD$15&gt;=$K$1,0.4,IF($Y$15*$AD$15&gt;=$J$1,0.2,0)),0))*$B18*$D18*$E18^(AF$2-1),0.01),0)</f>
        <v>0</v>
      </c>
      <c r="AG18" s="39">
        <f>IF(CEILING($B18*$D18/3,1)&gt;=AG$2,CEILING($F$1*IF($Y$15*$AD$15&gt;=$I$1,1,IF($Y$15*$AD$15&gt;=$H$1,0.5,0))*(1+IF($N$15=$D$1,IF($Y$15*$AD$15&gt;=$K$1,0.4,IF($Y$15*$AD$15&gt;=$J$1,0.2,0)),0))*$B18*$D18*$E18^(AG$2-1),0.01),0)</f>
        <v>0</v>
      </c>
      <c r="AH18" s="39">
        <f>IF(CEILING($B18*$D18/3,1)&gt;=AH$2,CEILING($F$1*IF($Y$15*$AD$15&gt;=$I$1,1,IF($Y$15*$AD$15&gt;=$H$1,0.5,0))*(1+IF($N$15=$D$1,IF($Y$15*$AD$15&gt;=$K$1,0.4,IF($Y$15*$AD$15&gt;=$J$1,0.2,0)),0))*$B18*$D18*$E18^(AH$2-1),0.01),0)</f>
        <v>0</v>
      </c>
      <c r="AI18" s="40">
        <f>IF(CEILING($B18*$D18/3,1)&gt;=AI$2,CEILING($F$1*IF($Y$15*$AD$15&gt;=$I$1,1,IF($Y$15*$AD$15&gt;=$H$1,0.5,0))*(1+IF($N$15=$D$1,IF($Y$15*$AD$15&gt;=$K$1,0.4,IF($Y$15*$AD$15&gt;=$J$1,0.2,0)),0))*$B18*$D18*$E18^(AI$2-1),0.01),0)</f>
        <v>0</v>
      </c>
    </row>
    <row r="19" spans="1:35" x14ac:dyDescent="0.25">
      <c r="A19" s="58">
        <v>4</v>
      </c>
      <c r="B19" s="60">
        <v>0.85</v>
      </c>
      <c r="C19" s="16">
        <v>0</v>
      </c>
      <c r="D19" s="67">
        <f>CEILING(1+MIN(Y$15,T$15-C19-1)+MAX((T$15-C19-1-Y$15)/$M$1,0),1)</f>
        <v>20</v>
      </c>
      <c r="E19" s="63">
        <f>MAX(($G$1/($F$1*D19))^(1/(ROUNDUP(D19/3,)-1)),2/3)</f>
        <v>0.66666666666666663</v>
      </c>
      <c r="F19" s="39">
        <f>IF(CEILING($B19*$D19/3,1)&gt;=F$2,CEILING($F$1*IF($Y$15*$AD$15&gt;=$I$1,1,IF($Y$15*$AD$15&gt;=$H$1,0.5,0))*(1+IF($N$15=$D$1,IF($Y$15*$AD$15&gt;=$K$1,0.4,IF($Y$15*$AD$15&gt;=$J$1,0.2,0)),0))*$B19*$D19*$E19^(F$2-1),0.01),0)</f>
        <v>1.28</v>
      </c>
      <c r="G19" s="39">
        <f>IF(CEILING($B19*$D19/3,1)&gt;=G$2,CEILING($F$1*IF($Y$15*$AD$15&gt;=$I$1,1,IF($Y$15*$AD$15&gt;=$H$1,0.5,0))*(1+IF($N$15=$D$1,IF($Y$15*$AD$15&gt;=$K$1,0.4,IF($Y$15*$AD$15&gt;=$J$1,0.2,0)),0))*$B19*$D19*$E19^(G$2-1),0.01),0)</f>
        <v>0.85</v>
      </c>
      <c r="H19" s="39">
        <f>IF(CEILING($B19*$D19/3,1)&gt;=H$2,CEILING($F$1*IF($Y$15*$AD$15&gt;=$I$1,1,IF($Y$15*$AD$15&gt;=$H$1,0.5,0))*(1+IF($N$15=$D$1,IF($Y$15*$AD$15&gt;=$K$1,0.4,IF($Y$15*$AD$15&gt;=$J$1,0.2,0)),0))*$B19*$D19*$E19^(H$2-1),0.01),0)</f>
        <v>0.57000000000000006</v>
      </c>
      <c r="I19" s="39">
        <f>IF(CEILING($B19*$D19/3,1)&gt;=I$2,CEILING($F$1*IF($Y$15*$AD$15&gt;=$I$1,1,IF($Y$15*$AD$15&gt;=$H$1,0.5,0))*(1+IF($N$15=$D$1,IF($Y$15*$AD$15&gt;=$K$1,0.4,IF($Y$15*$AD$15&gt;=$J$1,0.2,0)),0))*$B19*$D19*$E19^(I$2-1),0.01),0)</f>
        <v>0.38</v>
      </c>
      <c r="J19" s="39">
        <f>IF(CEILING($B19*$D19/3,1)&gt;=J$2,CEILING($F$1*IF($Y$15*$AD$15&gt;=$I$1,1,IF($Y$15*$AD$15&gt;=$H$1,0.5,0))*(1+IF($N$15=$D$1,IF($Y$15*$AD$15&gt;=$K$1,0.4,IF($Y$15*$AD$15&gt;=$J$1,0.2,0)),0))*$B19*$D19*$E19^(J$2-1),0.01),0)</f>
        <v>0.26</v>
      </c>
      <c r="K19" s="39">
        <f>IF(CEILING($B19*$D19/3,1)&gt;=K$2,CEILING($F$1*IF($Y$15*$AD$15&gt;=$I$1,1,IF($Y$15*$AD$15&gt;=$H$1,0.5,0))*(1+IF($N$15=$D$1,IF($Y$15*$AD$15&gt;=$K$1,0.4,IF($Y$15*$AD$15&gt;=$J$1,0.2,0)),0))*$B19*$D19*$E19^(K$2-1),0.01),0)</f>
        <v>0.17</v>
      </c>
      <c r="L19" s="39">
        <f>IF(CEILING($B19*$D19/3,1)&gt;=L$2,CEILING($F$1*IF($Y$15*$AD$15&gt;=$I$1,1,IF($Y$15*$AD$15&gt;=$H$1,0.5,0))*(1+IF($N$15=$D$1,IF($Y$15*$AD$15&gt;=$K$1,0.4,IF($Y$15*$AD$15&gt;=$J$1,0.2,0)),0))*$B19*$D19*$E19^(L$2-1),0.01),0)</f>
        <v>0</v>
      </c>
      <c r="M19" s="39">
        <f>IF(CEILING($B19*$D19/3,1)&gt;=M$2,CEILING($F$1*IF($Y$15*$AD$15&gt;=$I$1,1,IF($Y$15*$AD$15&gt;=$H$1,0.5,0))*(1+IF($N$15=$D$1,IF($Y$15*$AD$15&gt;=$K$1,0.4,IF($Y$15*$AD$15&gt;=$J$1,0.2,0)),0))*$B19*$D19*$E19^(M$2-1),0.01),0)</f>
        <v>0</v>
      </c>
      <c r="N19" s="39">
        <f>IF(CEILING($B19*$D19/3,1)&gt;=N$2,CEILING($F$1*IF($Y$15*$AD$15&gt;=$I$1,1,IF($Y$15*$AD$15&gt;=$H$1,0.5,0))*(1+IF($N$15=$D$1,IF($Y$15*$AD$15&gt;=$K$1,0.4,IF($Y$15*$AD$15&gt;=$J$1,0.2,0)),0))*$B19*$D19*$E19^(N$2-1),0.01),0)</f>
        <v>0</v>
      </c>
      <c r="O19" s="39">
        <f>IF(CEILING($B19*$D19/3,1)&gt;=O$2,CEILING($F$1*IF($Y$15*$AD$15&gt;=$I$1,1,IF($Y$15*$AD$15&gt;=$H$1,0.5,0))*(1+IF($N$15=$D$1,IF($Y$15*$AD$15&gt;=$K$1,0.4,IF($Y$15*$AD$15&gt;=$J$1,0.2,0)),0))*$B19*$D19*$E19^(O$2-1),0.01),0)</f>
        <v>0</v>
      </c>
      <c r="P19" s="39">
        <f>IF(CEILING($B19*$D19/3,1)&gt;=P$2,CEILING($F$1*IF($Y$15*$AD$15&gt;=$I$1,1,IF($Y$15*$AD$15&gt;=$H$1,0.5,0))*(1+IF($N$15=$D$1,IF($Y$15*$AD$15&gt;=$K$1,0.4,IF($Y$15*$AD$15&gt;=$J$1,0.2,0)),0))*$B19*$D19*$E19^(P$2-1),0.01),0)</f>
        <v>0</v>
      </c>
      <c r="Q19" s="39">
        <f>IF(CEILING($B19*$D19/3,1)&gt;=Q$2,CEILING($F$1*IF($Y$15*$AD$15&gt;=$I$1,1,IF($Y$15*$AD$15&gt;=$H$1,0.5,0))*(1+IF($N$15=$D$1,IF($Y$15*$AD$15&gt;=$K$1,0.4,IF($Y$15*$AD$15&gt;=$J$1,0.2,0)),0))*$B19*$D19*$E19^(Q$2-1),0.01),0)</f>
        <v>0</v>
      </c>
      <c r="R19" s="39">
        <f>IF(CEILING($B19*$D19/3,1)&gt;=R$2,CEILING($F$1*IF($Y$15*$AD$15&gt;=$I$1,1,IF($Y$15*$AD$15&gt;=$H$1,0.5,0))*(1+IF($N$15=$D$1,IF($Y$15*$AD$15&gt;=$K$1,0.4,IF($Y$15*$AD$15&gt;=$J$1,0.2,0)),0))*$B19*$D19*$E19^(R$2-1),0.01),0)</f>
        <v>0</v>
      </c>
      <c r="S19" s="39">
        <f>IF(CEILING($B19*$D19/3,1)&gt;=S$2,CEILING($F$1*IF($Y$15*$AD$15&gt;=$I$1,1,IF($Y$15*$AD$15&gt;=$H$1,0.5,0))*(1+IF($N$15=$D$1,IF($Y$15*$AD$15&gt;=$K$1,0.4,IF($Y$15*$AD$15&gt;=$J$1,0.2,0)),0))*$B19*$D19*$E19^(S$2-1),0.01),0)</f>
        <v>0</v>
      </c>
      <c r="T19" s="39">
        <f>IF(CEILING($B19*$D19/3,1)&gt;=T$2,CEILING($F$1*IF($Y$15*$AD$15&gt;=$I$1,1,IF($Y$15*$AD$15&gt;=$H$1,0.5,0))*(1+IF($N$15=$D$1,IF($Y$15*$AD$15&gt;=$K$1,0.4,IF($Y$15*$AD$15&gt;=$J$1,0.2,0)),0))*$B19*$D19*$E19^(T$2-1),0.01),0)</f>
        <v>0</v>
      </c>
      <c r="U19" s="39">
        <f>IF(CEILING($B19*$D19/3,1)&gt;=U$2,CEILING($F$1*IF($Y$15*$AD$15&gt;=$I$1,1,IF($Y$15*$AD$15&gt;=$H$1,0.5,0))*(1+IF($N$15=$D$1,IF($Y$15*$AD$15&gt;=$K$1,0.4,IF($Y$15*$AD$15&gt;=$J$1,0.2,0)),0))*$B19*$D19*$E19^(U$2-1),0.01),0)</f>
        <v>0</v>
      </c>
      <c r="V19" s="39">
        <f>IF(CEILING($B19*$D19/3,1)&gt;=V$2,CEILING($F$1*IF($Y$15*$AD$15&gt;=$I$1,1,IF($Y$15*$AD$15&gt;=$H$1,0.5,0))*(1+IF($N$15=$D$1,IF($Y$15*$AD$15&gt;=$K$1,0.4,IF($Y$15*$AD$15&gt;=$J$1,0.2,0)),0))*$B19*$D19*$E19^(V$2-1),0.01),0)</f>
        <v>0</v>
      </c>
      <c r="W19" s="39">
        <f>IF(CEILING($B19*$D19/3,1)&gt;=W$2,CEILING($F$1*IF($Y$15*$AD$15&gt;=$I$1,1,IF($Y$15*$AD$15&gt;=$H$1,0.5,0))*(1+IF($N$15=$D$1,IF($Y$15*$AD$15&gt;=$K$1,0.4,IF($Y$15*$AD$15&gt;=$J$1,0.2,0)),0))*$B19*$D19*$E19^(W$2-1),0.01),0)</f>
        <v>0</v>
      </c>
      <c r="X19" s="39">
        <f>IF(CEILING($B19*$D19/3,1)&gt;=X$2,CEILING($F$1*IF($Y$15*$AD$15&gt;=$I$1,1,IF($Y$15*$AD$15&gt;=$H$1,0.5,0))*(1+IF($N$15=$D$1,IF($Y$15*$AD$15&gt;=$K$1,0.4,IF($Y$15*$AD$15&gt;=$J$1,0.2,0)),0))*$B19*$D19*$E19^(X$2-1),0.01),0)</f>
        <v>0</v>
      </c>
      <c r="Y19" s="39">
        <f>IF(CEILING($B19*$D19/3,1)&gt;=Y$2,CEILING($F$1*IF($Y$15*$AD$15&gt;=$I$1,1,IF($Y$15*$AD$15&gt;=$H$1,0.5,0))*(1+IF($N$15=$D$1,IF($Y$15*$AD$15&gt;=$K$1,0.4,IF($Y$15*$AD$15&gt;=$J$1,0.2,0)),0))*$B19*$D19*$E19^(Y$2-1),0.01),0)</f>
        <v>0</v>
      </c>
      <c r="Z19" s="39">
        <f>IF(CEILING($B19*$D19/3,1)&gt;=Z$2,CEILING($F$1*IF($Y$15*$AD$15&gt;=$I$1,1,IF($Y$15*$AD$15&gt;=$H$1,0.5,0))*(1+IF($N$15=$D$1,IF($Y$15*$AD$15&gt;=$K$1,0.4,IF($Y$15*$AD$15&gt;=$J$1,0.2,0)),0))*$B19*$D19*$E19^(Z$2-1),0.01),0)</f>
        <v>0</v>
      </c>
      <c r="AA19" s="39">
        <f>IF(CEILING($B19*$D19/3,1)&gt;=AA$2,CEILING($F$1*IF($Y$15*$AD$15&gt;=$I$1,1,IF($Y$15*$AD$15&gt;=$H$1,0.5,0))*(1+IF($N$15=$D$1,IF($Y$15*$AD$15&gt;=$K$1,0.4,IF($Y$15*$AD$15&gt;=$J$1,0.2,0)),0))*$B19*$D19*$E19^(AA$2-1),0.01),0)</f>
        <v>0</v>
      </c>
      <c r="AB19" s="39">
        <f>IF(CEILING($B19*$D19/3,1)&gt;=AB$2,CEILING($F$1*IF($Y$15*$AD$15&gt;=$I$1,1,IF($Y$15*$AD$15&gt;=$H$1,0.5,0))*(1+IF($N$15=$D$1,IF($Y$15*$AD$15&gt;=$K$1,0.4,IF($Y$15*$AD$15&gt;=$J$1,0.2,0)),0))*$B19*$D19*$E19^(AB$2-1),0.01),0)</f>
        <v>0</v>
      </c>
      <c r="AC19" s="39">
        <f>IF(CEILING($B19*$D19/3,1)&gt;=AC$2,CEILING($F$1*IF($Y$15*$AD$15&gt;=$I$1,1,IF($Y$15*$AD$15&gt;=$H$1,0.5,0))*(1+IF($N$15=$D$1,IF($Y$15*$AD$15&gt;=$K$1,0.4,IF($Y$15*$AD$15&gt;=$J$1,0.2,0)),0))*$B19*$D19*$E19^(AC$2-1),0.01),0)</f>
        <v>0</v>
      </c>
      <c r="AD19" s="39">
        <f>IF(CEILING($B19*$D19/3,1)&gt;=AD$2,CEILING($F$1*IF($Y$15*$AD$15&gt;=$I$1,1,IF($Y$15*$AD$15&gt;=$H$1,0.5,0))*(1+IF($N$15=$D$1,IF($Y$15*$AD$15&gt;=$K$1,0.4,IF($Y$15*$AD$15&gt;=$J$1,0.2,0)),0))*$B19*$D19*$E19^(AD$2-1),0.01),0)</f>
        <v>0</v>
      </c>
      <c r="AE19" s="39">
        <f>IF(CEILING($B19*$D19/3,1)&gt;=AE$2,CEILING($F$1*IF($Y$15*$AD$15&gt;=$I$1,1,IF($Y$15*$AD$15&gt;=$H$1,0.5,0))*(1+IF($N$15=$D$1,IF($Y$15*$AD$15&gt;=$K$1,0.4,IF($Y$15*$AD$15&gt;=$J$1,0.2,0)),0))*$B19*$D19*$E19^(AE$2-1),0.01),0)</f>
        <v>0</v>
      </c>
      <c r="AF19" s="39">
        <f>IF(CEILING($B19*$D19/3,1)&gt;=AF$2,CEILING($F$1*IF($Y$15*$AD$15&gt;=$I$1,1,IF($Y$15*$AD$15&gt;=$H$1,0.5,0))*(1+IF($N$15=$D$1,IF($Y$15*$AD$15&gt;=$K$1,0.4,IF($Y$15*$AD$15&gt;=$J$1,0.2,0)),0))*$B19*$D19*$E19^(AF$2-1),0.01),0)</f>
        <v>0</v>
      </c>
      <c r="AG19" s="39">
        <f>IF(CEILING($B19*$D19/3,1)&gt;=AG$2,CEILING($F$1*IF($Y$15*$AD$15&gt;=$I$1,1,IF($Y$15*$AD$15&gt;=$H$1,0.5,0))*(1+IF($N$15=$D$1,IF($Y$15*$AD$15&gt;=$K$1,0.4,IF($Y$15*$AD$15&gt;=$J$1,0.2,0)),0))*$B19*$D19*$E19^(AG$2-1),0.01),0)</f>
        <v>0</v>
      </c>
      <c r="AH19" s="39">
        <f>IF(CEILING($B19*$D19/3,1)&gt;=AH$2,CEILING($F$1*IF($Y$15*$AD$15&gt;=$I$1,1,IF($Y$15*$AD$15&gt;=$H$1,0.5,0))*(1+IF($N$15=$D$1,IF($Y$15*$AD$15&gt;=$K$1,0.4,IF($Y$15*$AD$15&gt;=$J$1,0.2,0)),0))*$B19*$D19*$E19^(AH$2-1),0.01),0)</f>
        <v>0</v>
      </c>
      <c r="AI19" s="40">
        <f>IF(CEILING($B19*$D19/3,1)&gt;=AI$2,CEILING($F$1*IF($Y$15*$AD$15&gt;=$I$1,1,IF($Y$15*$AD$15&gt;=$H$1,0.5,0))*(1+IF($N$15=$D$1,IF($Y$15*$AD$15&gt;=$K$1,0.4,IF($Y$15*$AD$15&gt;=$J$1,0.2,0)),0))*$B19*$D19*$E19^(AI$2-1),0.01),0)</f>
        <v>0</v>
      </c>
    </row>
    <row r="20" spans="1:35" x14ac:dyDescent="0.25">
      <c r="A20" s="58"/>
      <c r="B20" s="60"/>
      <c r="C20" s="6"/>
      <c r="D20" s="68"/>
      <c r="E20" s="64"/>
      <c r="F20" s="41"/>
      <c r="G20" s="41"/>
      <c r="H20" s="41"/>
      <c r="I20" s="41"/>
      <c r="J20" s="42"/>
      <c r="K20" s="42"/>
      <c r="L20" s="42"/>
      <c r="M20" s="42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3"/>
    </row>
    <row r="21" spans="1:35" x14ac:dyDescent="0.25">
      <c r="A21" s="58"/>
      <c r="B21" s="60"/>
      <c r="C21" s="6"/>
      <c r="D21" s="68"/>
      <c r="E21" s="64"/>
      <c r="F21" s="133" t="s">
        <v>11</v>
      </c>
      <c r="G21" s="134"/>
      <c r="H21" s="134"/>
      <c r="I21" s="36">
        <v>5</v>
      </c>
      <c r="J21" s="135" t="s">
        <v>3</v>
      </c>
      <c r="K21" s="135"/>
      <c r="L21" s="135"/>
      <c r="M21" s="135"/>
      <c r="N21" s="130" t="s">
        <v>5</v>
      </c>
      <c r="O21" s="130"/>
      <c r="P21" s="132" t="s">
        <v>1</v>
      </c>
      <c r="Q21" s="132"/>
      <c r="R21" s="132"/>
      <c r="S21" s="132"/>
      <c r="T21" s="15">
        <v>20</v>
      </c>
      <c r="U21" s="132" t="s">
        <v>2</v>
      </c>
      <c r="V21" s="132"/>
      <c r="W21" s="132"/>
      <c r="X21" s="132"/>
      <c r="Y21" s="15">
        <v>19</v>
      </c>
      <c r="Z21" s="132" t="s">
        <v>4</v>
      </c>
      <c r="AA21" s="132"/>
      <c r="AB21" s="132"/>
      <c r="AC21" s="132"/>
      <c r="AD21" s="15">
        <v>3</v>
      </c>
      <c r="AE21" s="37"/>
      <c r="AF21" s="37"/>
      <c r="AG21" s="37"/>
      <c r="AH21" s="37"/>
      <c r="AI21" s="38"/>
    </row>
    <row r="22" spans="1:35" x14ac:dyDescent="0.25">
      <c r="A22" s="58">
        <v>1</v>
      </c>
      <c r="B22" s="60">
        <v>1.2</v>
      </c>
      <c r="C22" s="16">
        <v>0</v>
      </c>
      <c r="D22" s="67">
        <f>CEILING(1+MIN(Y$21,T$21-C22-1)+MAX((T$21-C22-1-Y$21)/$M$1,0),1)</f>
        <v>20</v>
      </c>
      <c r="E22" s="63">
        <f>MAX(($G$1/($F$1*D22))^(1/(ROUNDUP(D22/3,)-1)),2/3)</f>
        <v>0.66666666666666663</v>
      </c>
      <c r="F22" s="39">
        <f>IF(CEILING($B22*$D22/3,1)&gt;=F$2,CEILING($F$1*IF($Y$21*$AD$21&gt;=$I$1,1,IF($Y$21*$AD$21&gt;=$H$1,0.5,0))*(1+IF($N$21=$D$1,IF($Y$21*$AD$21&gt;=$K$1,0.4,IF($Y$21*$AD$21&gt;=$J$1,0.2,0)),0))*$B22*$D22*$E22^(F$2-1),0.01),0)</f>
        <v>1.8</v>
      </c>
      <c r="G22" s="39">
        <f>IF(CEILING($B22*$D22/3,1)&gt;=G$2,CEILING($F$1*IF($Y$21*$AD$21&gt;=$I$1,1,IF($Y$21*$AD$21&gt;=$H$1,0.5,0))*(1+IF($N$21=$D$1,IF($Y$21*$AD$21&gt;=$K$1,0.4,IF($Y$21*$AD$21&gt;=$J$1,0.2,0)),0))*$B22*$D22*$E22^(G$2-1),0.01),0)</f>
        <v>1.2</v>
      </c>
      <c r="H22" s="39">
        <f>IF(CEILING($B22*$D22/3,1)&gt;=H$2,CEILING($F$1*IF($Y$21*$AD$21&gt;=$I$1,1,IF($Y$21*$AD$21&gt;=$H$1,0.5,0))*(1+IF($N$21=$D$1,IF($Y$21*$AD$21&gt;=$K$1,0.4,IF($Y$21*$AD$21&gt;=$J$1,0.2,0)),0))*$B22*$D22*$E22^(H$2-1),0.01),0)</f>
        <v>0.8</v>
      </c>
      <c r="I22" s="39">
        <f>IF(CEILING($B22*$D22/3,1)&gt;=I$2,CEILING($F$1*IF($Y$21*$AD$21&gt;=$I$1,1,IF($Y$21*$AD$21&gt;=$H$1,0.5,0))*(1+IF($N$21=$D$1,IF($Y$21*$AD$21&gt;=$K$1,0.4,IF($Y$21*$AD$21&gt;=$J$1,0.2,0)),0))*$B22*$D22*$E22^(I$2-1),0.01),0)</f>
        <v>0.54</v>
      </c>
      <c r="J22" s="39">
        <f>IF(CEILING($B22*$D22/3,1)&gt;=J$2,CEILING($F$1*IF($Y$21*$AD$21&gt;=$I$1,1,IF($Y$21*$AD$21&gt;=$H$1,0.5,0))*(1+IF($N$21=$D$1,IF($Y$21*$AD$21&gt;=$K$1,0.4,IF($Y$21*$AD$21&gt;=$J$1,0.2,0)),0))*$B22*$D22*$E22^(J$2-1),0.01),0)</f>
        <v>0.36</v>
      </c>
      <c r="K22" s="39">
        <f>IF(CEILING($B22*$D22/3,1)&gt;=K$2,CEILING($F$1*IF($Y$21*$AD$21&gt;=$I$1,1,IF($Y$21*$AD$21&gt;=$H$1,0.5,0))*(1+IF($N$21=$D$1,IF($Y$21*$AD$21&gt;=$K$1,0.4,IF($Y$21*$AD$21&gt;=$J$1,0.2,0)),0))*$B22*$D22*$E22^(K$2-1),0.01),0)</f>
        <v>0.24</v>
      </c>
      <c r="L22" s="39">
        <f>IF(CEILING($B22*$D22/3,1)&gt;=L$2,CEILING($F$1*IF($Y$21*$AD$21&gt;=$I$1,1,IF($Y$21*$AD$21&gt;=$H$1,0.5,0))*(1+IF($N$21=$D$1,IF($Y$21*$AD$21&gt;=$K$1,0.4,IF($Y$21*$AD$21&gt;=$J$1,0.2,0)),0))*$B22*$D22*$E22^(L$2-1),0.01),0)</f>
        <v>0.16</v>
      </c>
      <c r="M22" s="39">
        <f>IF(CEILING($B22*$D22/3,1)&gt;=M$2,CEILING($F$1*IF($Y$21*$AD$21&gt;=$I$1,1,IF($Y$21*$AD$21&gt;=$H$1,0.5,0))*(1+IF($N$21=$D$1,IF($Y$21*$AD$21&gt;=$K$1,0.4,IF($Y$21*$AD$21&gt;=$J$1,0.2,0)),0))*$B22*$D22*$E22^(M$2-1),0.01),0)</f>
        <v>0.11</v>
      </c>
      <c r="N22" s="39">
        <f>IF(CEILING($B22*$D22/3,1)&gt;=N$2,CEILING($F$1*IF($Y$21*$AD$21&gt;=$I$1,1,IF($Y$21*$AD$21&gt;=$H$1,0.5,0))*(1+IF($N$21=$D$1,IF($Y$21*$AD$21&gt;=$K$1,0.4,IF($Y$21*$AD$21&gt;=$J$1,0.2,0)),0))*$B22*$D22*$E22^(N$2-1),0.01),0)</f>
        <v>0</v>
      </c>
      <c r="O22" s="39">
        <f>IF(CEILING($B22*$D22/3,1)&gt;=O$2,CEILING($F$1*IF($Y$21*$AD$21&gt;=$I$1,1,IF($Y$21*$AD$21&gt;=$H$1,0.5,0))*(1+IF($N$21=$D$1,IF($Y$21*$AD$21&gt;=$K$1,0.4,IF($Y$21*$AD$21&gt;=$J$1,0.2,0)),0))*$B22*$D22*$E22^(O$2-1),0.01),0)</f>
        <v>0</v>
      </c>
      <c r="P22" s="39">
        <f>IF(CEILING($B22*$D22/3,1)&gt;=P$2,CEILING($F$1*IF($Y$21*$AD$21&gt;=$I$1,1,IF($Y$21*$AD$21&gt;=$H$1,0.5,0))*(1+IF($N$21=$D$1,IF($Y$21*$AD$21&gt;=$K$1,0.4,IF($Y$21*$AD$21&gt;=$J$1,0.2,0)),0))*$B22*$D22*$E22^(P$2-1),0.01),0)</f>
        <v>0</v>
      </c>
      <c r="Q22" s="39">
        <f>IF(CEILING($B22*$D22/3,1)&gt;=Q$2,CEILING($F$1*IF($Y$21*$AD$21&gt;=$I$1,1,IF($Y$21*$AD$21&gt;=$H$1,0.5,0))*(1+IF($N$21=$D$1,IF($Y$21*$AD$21&gt;=$K$1,0.4,IF($Y$21*$AD$21&gt;=$J$1,0.2,0)),0))*$B22*$D22*$E22^(Q$2-1),0.01),0)</f>
        <v>0</v>
      </c>
      <c r="R22" s="39">
        <f>IF(CEILING($B22*$D22/3,1)&gt;=R$2,CEILING($F$1*IF($Y$21*$AD$21&gt;=$I$1,1,IF($Y$21*$AD$21&gt;=$H$1,0.5,0))*(1+IF($N$21=$D$1,IF($Y$21*$AD$21&gt;=$K$1,0.4,IF($Y$21*$AD$21&gt;=$J$1,0.2,0)),0))*$B22*$D22*$E22^(R$2-1),0.01),0)</f>
        <v>0</v>
      </c>
      <c r="S22" s="39">
        <f>IF(CEILING($B22*$D22/3,1)&gt;=S$2,CEILING($F$1*IF($Y$21*$AD$21&gt;=$I$1,1,IF($Y$21*$AD$21&gt;=$H$1,0.5,0))*(1+IF($N$21=$D$1,IF($Y$21*$AD$21&gt;=$K$1,0.4,IF($Y$21*$AD$21&gt;=$J$1,0.2,0)),0))*$B22*$D22*$E22^(S$2-1),0.01),0)</f>
        <v>0</v>
      </c>
      <c r="T22" s="39">
        <f>IF(CEILING($B22*$D22/3,1)&gt;=T$2,CEILING($F$1*IF($Y$21*$AD$21&gt;=$I$1,1,IF($Y$21*$AD$21&gt;=$H$1,0.5,0))*(1+IF($N$21=$D$1,IF($Y$21*$AD$21&gt;=$K$1,0.4,IF($Y$21*$AD$21&gt;=$J$1,0.2,0)),0))*$B22*$D22*$E22^(T$2-1),0.01),0)</f>
        <v>0</v>
      </c>
      <c r="U22" s="39">
        <f>IF(CEILING($B22*$D22/3,1)&gt;=U$2,CEILING($F$1*IF($Y$21*$AD$21&gt;=$I$1,1,IF($Y$21*$AD$21&gt;=$H$1,0.5,0))*(1+IF($N$21=$D$1,IF($Y$21*$AD$21&gt;=$K$1,0.4,IF($Y$21*$AD$21&gt;=$J$1,0.2,0)),0))*$B22*$D22*$E22^(U$2-1),0.01),0)</f>
        <v>0</v>
      </c>
      <c r="V22" s="39">
        <f>IF(CEILING($B22*$D22/3,1)&gt;=V$2,CEILING($F$1*IF($Y$21*$AD$21&gt;=$I$1,1,IF($Y$21*$AD$21&gt;=$H$1,0.5,0))*(1+IF($N$21=$D$1,IF($Y$21*$AD$21&gt;=$K$1,0.4,IF($Y$21*$AD$21&gt;=$J$1,0.2,0)),0))*$B22*$D22*$E22^(V$2-1),0.01),0)</f>
        <v>0</v>
      </c>
      <c r="W22" s="39">
        <f>IF(CEILING($B22*$D22/3,1)&gt;=W$2,CEILING($F$1*IF($Y$21*$AD$21&gt;=$I$1,1,IF($Y$21*$AD$21&gt;=$H$1,0.5,0))*(1+IF($N$21=$D$1,IF($Y$21*$AD$21&gt;=$K$1,0.4,IF($Y$21*$AD$21&gt;=$J$1,0.2,0)),0))*$B22*$D22*$E22^(W$2-1),0.01),0)</f>
        <v>0</v>
      </c>
      <c r="X22" s="39">
        <f>IF(CEILING($B22*$D22/3,1)&gt;=X$2,CEILING($F$1*IF($Y$21*$AD$21&gt;=$I$1,1,IF($Y$21*$AD$21&gt;=$H$1,0.5,0))*(1+IF($N$21=$D$1,IF($Y$21*$AD$21&gt;=$K$1,0.4,IF($Y$21*$AD$21&gt;=$J$1,0.2,0)),0))*$B22*$D22*$E22^(X$2-1),0.01),0)</f>
        <v>0</v>
      </c>
      <c r="Y22" s="39">
        <f>IF(CEILING($B22*$D22/3,1)&gt;=Y$2,CEILING($F$1*IF($Y$21*$AD$21&gt;=$I$1,1,IF($Y$21*$AD$21&gt;=$H$1,0.5,0))*(1+IF($N$21=$D$1,IF($Y$21*$AD$21&gt;=$K$1,0.4,IF($Y$21*$AD$21&gt;=$J$1,0.2,0)),0))*$B22*$D22*$E22^(Y$2-1),0.01),0)</f>
        <v>0</v>
      </c>
      <c r="Z22" s="39">
        <f>IF(CEILING($B22*$D22/3,1)&gt;=Z$2,CEILING($F$1*IF($Y$21*$AD$21&gt;=$I$1,1,IF($Y$21*$AD$21&gt;=$H$1,0.5,0))*(1+IF($N$21=$D$1,IF($Y$21*$AD$21&gt;=$K$1,0.4,IF($Y$21*$AD$21&gt;=$J$1,0.2,0)),0))*$B22*$D22*$E22^(Z$2-1),0.01),0)</f>
        <v>0</v>
      </c>
      <c r="AA22" s="39">
        <f>IF(CEILING($B22*$D22/3,1)&gt;=AA$2,CEILING($F$1*IF($Y$21*$AD$21&gt;=$I$1,1,IF($Y$21*$AD$21&gt;=$H$1,0.5,0))*(1+IF($N$21=$D$1,IF($Y$21*$AD$21&gt;=$K$1,0.4,IF($Y$21*$AD$21&gt;=$J$1,0.2,0)),0))*$B22*$D22*$E22^(AA$2-1),0.01),0)</f>
        <v>0</v>
      </c>
      <c r="AB22" s="39">
        <f>IF(CEILING($B22*$D22/3,1)&gt;=AB$2,CEILING($F$1*IF($Y$21*$AD$21&gt;=$I$1,1,IF($Y$21*$AD$21&gt;=$H$1,0.5,0))*(1+IF($N$21=$D$1,IF($Y$21*$AD$21&gt;=$K$1,0.4,IF($Y$21*$AD$21&gt;=$J$1,0.2,0)),0))*$B22*$D22*$E22^(AB$2-1),0.01),0)</f>
        <v>0</v>
      </c>
      <c r="AC22" s="39">
        <f>IF(CEILING($B22*$D22/3,1)&gt;=AC$2,CEILING($F$1*IF($Y$21*$AD$21&gt;=$I$1,1,IF($Y$21*$AD$21&gt;=$H$1,0.5,0))*(1+IF($N$21=$D$1,IF($Y$21*$AD$21&gt;=$K$1,0.4,IF($Y$21*$AD$21&gt;=$J$1,0.2,0)),0))*$B22*$D22*$E22^(AC$2-1),0.01),0)</f>
        <v>0</v>
      </c>
      <c r="AD22" s="39">
        <f>IF(CEILING($B22*$D22/3,1)&gt;=AD$2,CEILING($F$1*IF($Y$21*$AD$21&gt;=$I$1,1,IF($Y$21*$AD$21&gt;=$H$1,0.5,0))*(1+IF($N$21=$D$1,IF($Y$21*$AD$21&gt;=$K$1,0.4,IF($Y$21*$AD$21&gt;=$J$1,0.2,0)),0))*$B22*$D22*$E22^(AD$2-1),0.01),0)</f>
        <v>0</v>
      </c>
      <c r="AE22" s="39">
        <f>IF(CEILING($B22*$D22/3,1)&gt;=AE$2,CEILING($F$1*IF($Y$21*$AD$21&gt;=$I$1,1,IF($Y$21*$AD$21&gt;=$H$1,0.5,0))*(1+IF($N$21=$D$1,IF($Y$21*$AD$21&gt;=$K$1,0.4,IF($Y$21*$AD$21&gt;=$J$1,0.2,0)),0))*$B22*$D22*$E22^(AE$2-1),0.01),0)</f>
        <v>0</v>
      </c>
      <c r="AF22" s="39">
        <f>IF(CEILING($B22*$D22/3,1)&gt;=AF$2,CEILING($F$1*IF($Y$21*$AD$21&gt;=$I$1,1,IF($Y$21*$AD$21&gt;=$H$1,0.5,0))*(1+IF($N$21=$D$1,IF($Y$21*$AD$21&gt;=$K$1,0.4,IF($Y$21*$AD$21&gt;=$J$1,0.2,0)),0))*$B22*$D22*$E22^(AF$2-1),0.01),0)</f>
        <v>0</v>
      </c>
      <c r="AG22" s="39">
        <f>IF(CEILING($B22*$D22/3,1)&gt;=AG$2,CEILING($F$1*IF($Y$21*$AD$21&gt;=$I$1,1,IF($Y$21*$AD$21&gt;=$H$1,0.5,0))*(1+IF($N$21=$D$1,IF($Y$21*$AD$21&gt;=$K$1,0.4,IF($Y$21*$AD$21&gt;=$J$1,0.2,0)),0))*$B22*$D22*$E22^(AG$2-1),0.01),0)</f>
        <v>0</v>
      </c>
      <c r="AH22" s="39">
        <f>IF(CEILING($B22*$D22/3,1)&gt;=AH$2,CEILING($F$1*IF($Y$21*$AD$21&gt;=$I$1,1,IF($Y$21*$AD$21&gt;=$H$1,0.5,0))*(1+IF($N$21=$D$1,IF($Y$21*$AD$21&gt;=$K$1,0.4,IF($Y$21*$AD$21&gt;=$J$1,0.2,0)),0))*$B22*$D22*$E22^(AH$2-1),0.01),0)</f>
        <v>0</v>
      </c>
      <c r="AI22" s="40">
        <f>IF(CEILING($B22*$D22/3,1)&gt;=AI$2,CEILING($F$1*IF($Y$21*$AD$21&gt;=$I$1,1,IF($Y$21*$AD$21&gt;=$H$1,0.5,0))*(1+IF($N$21=$D$1,IF($Y$21*$AD$21&gt;=$K$1,0.4,IF($Y$21*$AD$21&gt;=$J$1,0.2,0)),0))*$B22*$D22*$E22^(AI$2-1),0.01),0)</f>
        <v>0</v>
      </c>
    </row>
    <row r="23" spans="1:35" x14ac:dyDescent="0.25">
      <c r="A23" s="58">
        <v>2</v>
      </c>
      <c r="B23" s="60">
        <v>1.1000000000000001</v>
      </c>
      <c r="C23" s="16">
        <v>0</v>
      </c>
      <c r="D23" s="67">
        <f>CEILING(1+MIN(Y$21,T$21-C23-1)+MAX((T$21-C23-1-Y$21)/$M$1,0),1)</f>
        <v>20</v>
      </c>
      <c r="E23" s="63">
        <f>MAX(($G$1/($F$1*D23))^(1/(ROUNDUP(D23/3,)-1)),2/3)</f>
        <v>0.66666666666666663</v>
      </c>
      <c r="F23" s="39">
        <f>IF(CEILING($B23*$D23/3,1)&gt;=F$2,CEILING($F$1*IF($Y$21*$AD$21&gt;=$I$1,1,IF($Y$21*$AD$21&gt;=$H$1,0.5,0))*(1+IF($N$21=$D$1,IF($Y$21*$AD$21&gt;=$K$1,0.4,IF($Y$21*$AD$21&gt;=$J$1,0.2,0)),0))*$B23*$D23*$E23^(F$2-1),0.01),0)</f>
        <v>1.6500000000000001</v>
      </c>
      <c r="G23" s="39">
        <f>IF(CEILING($B23*$D23/3,1)&gt;=G$2,CEILING($F$1*IF($Y$21*$AD$21&gt;=$I$1,1,IF($Y$21*$AD$21&gt;=$H$1,0.5,0))*(1+IF($N$21=$D$1,IF($Y$21*$AD$21&gt;=$K$1,0.4,IF($Y$21*$AD$21&gt;=$J$1,0.2,0)),0))*$B23*$D23*$E23^(G$2-1),0.01),0)</f>
        <v>1.1000000000000001</v>
      </c>
      <c r="H23" s="39">
        <f>IF(CEILING($B23*$D23/3,1)&gt;=H$2,CEILING($F$1*IF($Y$21*$AD$21&gt;=$I$1,1,IF($Y$21*$AD$21&gt;=$H$1,0.5,0))*(1+IF($N$21=$D$1,IF($Y$21*$AD$21&gt;=$K$1,0.4,IF($Y$21*$AD$21&gt;=$J$1,0.2,0)),0))*$B23*$D23*$E23^(H$2-1),0.01),0)</f>
        <v>0.74</v>
      </c>
      <c r="I23" s="39">
        <f>IF(CEILING($B23*$D23/3,1)&gt;=I$2,CEILING($F$1*IF($Y$21*$AD$21&gt;=$I$1,1,IF($Y$21*$AD$21&gt;=$H$1,0.5,0))*(1+IF($N$21=$D$1,IF($Y$21*$AD$21&gt;=$K$1,0.4,IF($Y$21*$AD$21&gt;=$J$1,0.2,0)),0))*$B23*$D23*$E23^(I$2-1),0.01),0)</f>
        <v>0.49</v>
      </c>
      <c r="J23" s="39">
        <f>IF(CEILING($B23*$D23/3,1)&gt;=J$2,CEILING($F$1*IF($Y$21*$AD$21&gt;=$I$1,1,IF($Y$21*$AD$21&gt;=$H$1,0.5,0))*(1+IF($N$21=$D$1,IF($Y$21*$AD$21&gt;=$K$1,0.4,IF($Y$21*$AD$21&gt;=$J$1,0.2,0)),0))*$B23*$D23*$E23^(J$2-1),0.01),0)</f>
        <v>0.33</v>
      </c>
      <c r="K23" s="39">
        <f>IF(CEILING($B23*$D23/3,1)&gt;=K$2,CEILING($F$1*IF($Y$21*$AD$21&gt;=$I$1,1,IF($Y$21*$AD$21&gt;=$H$1,0.5,0))*(1+IF($N$21=$D$1,IF($Y$21*$AD$21&gt;=$K$1,0.4,IF($Y$21*$AD$21&gt;=$J$1,0.2,0)),0))*$B23*$D23*$E23^(K$2-1),0.01),0)</f>
        <v>0.22</v>
      </c>
      <c r="L23" s="39">
        <f>IF(CEILING($B23*$D23/3,1)&gt;=L$2,CEILING($F$1*IF($Y$21*$AD$21&gt;=$I$1,1,IF($Y$21*$AD$21&gt;=$H$1,0.5,0))*(1+IF($N$21=$D$1,IF($Y$21*$AD$21&gt;=$K$1,0.4,IF($Y$21*$AD$21&gt;=$J$1,0.2,0)),0))*$B23*$D23*$E23^(L$2-1),0.01),0)</f>
        <v>0.15</v>
      </c>
      <c r="M23" s="39">
        <f>IF(CEILING($B23*$D23/3,1)&gt;=M$2,CEILING($F$1*IF($Y$21*$AD$21&gt;=$I$1,1,IF($Y$21*$AD$21&gt;=$H$1,0.5,0))*(1+IF($N$21=$D$1,IF($Y$21*$AD$21&gt;=$K$1,0.4,IF($Y$21*$AD$21&gt;=$J$1,0.2,0)),0))*$B23*$D23*$E23^(M$2-1),0.01),0)</f>
        <v>0.1</v>
      </c>
      <c r="N23" s="39">
        <f>IF(CEILING($B23*$D23/3,1)&gt;=N$2,CEILING($F$1*IF($Y$21*$AD$21&gt;=$I$1,1,IF($Y$21*$AD$21&gt;=$H$1,0.5,0))*(1+IF($N$21=$D$1,IF($Y$21*$AD$21&gt;=$K$1,0.4,IF($Y$21*$AD$21&gt;=$J$1,0.2,0)),0))*$B23*$D23*$E23^(N$2-1),0.01),0)</f>
        <v>0</v>
      </c>
      <c r="O23" s="39">
        <f>IF(CEILING($B23*$D23/3,1)&gt;=O$2,CEILING($F$1*IF($Y$21*$AD$21&gt;=$I$1,1,IF($Y$21*$AD$21&gt;=$H$1,0.5,0))*(1+IF($N$21=$D$1,IF($Y$21*$AD$21&gt;=$K$1,0.4,IF($Y$21*$AD$21&gt;=$J$1,0.2,0)),0))*$B23*$D23*$E23^(O$2-1),0.01),0)</f>
        <v>0</v>
      </c>
      <c r="P23" s="39">
        <f>IF(CEILING($B23*$D23/3,1)&gt;=P$2,CEILING($F$1*IF($Y$21*$AD$21&gt;=$I$1,1,IF($Y$21*$AD$21&gt;=$H$1,0.5,0))*(1+IF($N$21=$D$1,IF($Y$21*$AD$21&gt;=$K$1,0.4,IF($Y$21*$AD$21&gt;=$J$1,0.2,0)),0))*$B23*$D23*$E23^(P$2-1),0.01),0)</f>
        <v>0</v>
      </c>
      <c r="Q23" s="39">
        <f>IF(CEILING($B23*$D23/3,1)&gt;=Q$2,CEILING($F$1*IF($Y$21*$AD$21&gt;=$I$1,1,IF($Y$21*$AD$21&gt;=$H$1,0.5,0))*(1+IF($N$21=$D$1,IF($Y$21*$AD$21&gt;=$K$1,0.4,IF($Y$21*$AD$21&gt;=$J$1,0.2,0)),0))*$B23*$D23*$E23^(Q$2-1),0.01),0)</f>
        <v>0</v>
      </c>
      <c r="R23" s="39">
        <f>IF(CEILING($B23*$D23/3,1)&gt;=R$2,CEILING($F$1*IF($Y$21*$AD$21&gt;=$I$1,1,IF($Y$21*$AD$21&gt;=$H$1,0.5,0))*(1+IF($N$21=$D$1,IF($Y$21*$AD$21&gt;=$K$1,0.4,IF($Y$21*$AD$21&gt;=$J$1,0.2,0)),0))*$B23*$D23*$E23^(R$2-1),0.01),0)</f>
        <v>0</v>
      </c>
      <c r="S23" s="39">
        <f>IF(CEILING($B23*$D23/3,1)&gt;=S$2,CEILING($F$1*IF($Y$21*$AD$21&gt;=$I$1,1,IF($Y$21*$AD$21&gt;=$H$1,0.5,0))*(1+IF($N$21=$D$1,IF($Y$21*$AD$21&gt;=$K$1,0.4,IF($Y$21*$AD$21&gt;=$J$1,0.2,0)),0))*$B23*$D23*$E23^(S$2-1),0.01),0)</f>
        <v>0</v>
      </c>
      <c r="T23" s="39">
        <f>IF(CEILING($B23*$D23/3,1)&gt;=T$2,CEILING($F$1*IF($Y$21*$AD$21&gt;=$I$1,1,IF($Y$21*$AD$21&gt;=$H$1,0.5,0))*(1+IF($N$21=$D$1,IF($Y$21*$AD$21&gt;=$K$1,0.4,IF($Y$21*$AD$21&gt;=$J$1,0.2,0)),0))*$B23*$D23*$E23^(T$2-1),0.01),0)</f>
        <v>0</v>
      </c>
      <c r="U23" s="39">
        <f>IF(CEILING($B23*$D23/3,1)&gt;=U$2,CEILING($F$1*IF($Y$21*$AD$21&gt;=$I$1,1,IF($Y$21*$AD$21&gt;=$H$1,0.5,0))*(1+IF($N$21=$D$1,IF($Y$21*$AD$21&gt;=$K$1,0.4,IF($Y$21*$AD$21&gt;=$J$1,0.2,0)),0))*$B23*$D23*$E23^(U$2-1),0.01),0)</f>
        <v>0</v>
      </c>
      <c r="V23" s="39">
        <f>IF(CEILING($B23*$D23/3,1)&gt;=V$2,CEILING($F$1*IF($Y$21*$AD$21&gt;=$I$1,1,IF($Y$21*$AD$21&gt;=$H$1,0.5,0))*(1+IF($N$21=$D$1,IF($Y$21*$AD$21&gt;=$K$1,0.4,IF($Y$21*$AD$21&gt;=$J$1,0.2,0)),0))*$B23*$D23*$E23^(V$2-1),0.01),0)</f>
        <v>0</v>
      </c>
      <c r="W23" s="39">
        <f>IF(CEILING($B23*$D23/3,1)&gt;=W$2,CEILING($F$1*IF($Y$21*$AD$21&gt;=$I$1,1,IF($Y$21*$AD$21&gt;=$H$1,0.5,0))*(1+IF($N$21=$D$1,IF($Y$21*$AD$21&gt;=$K$1,0.4,IF($Y$21*$AD$21&gt;=$J$1,0.2,0)),0))*$B23*$D23*$E23^(W$2-1),0.01),0)</f>
        <v>0</v>
      </c>
      <c r="X23" s="39">
        <f>IF(CEILING($B23*$D23/3,1)&gt;=X$2,CEILING($F$1*IF($Y$21*$AD$21&gt;=$I$1,1,IF($Y$21*$AD$21&gt;=$H$1,0.5,0))*(1+IF($N$21=$D$1,IF($Y$21*$AD$21&gt;=$K$1,0.4,IF($Y$21*$AD$21&gt;=$J$1,0.2,0)),0))*$B23*$D23*$E23^(X$2-1),0.01),0)</f>
        <v>0</v>
      </c>
      <c r="Y23" s="39">
        <f>IF(CEILING($B23*$D23/3,1)&gt;=Y$2,CEILING($F$1*IF($Y$21*$AD$21&gt;=$I$1,1,IF($Y$21*$AD$21&gt;=$H$1,0.5,0))*(1+IF($N$21=$D$1,IF($Y$21*$AD$21&gt;=$K$1,0.4,IF($Y$21*$AD$21&gt;=$J$1,0.2,0)),0))*$B23*$D23*$E23^(Y$2-1),0.01),0)</f>
        <v>0</v>
      </c>
      <c r="Z23" s="39">
        <f>IF(CEILING($B23*$D23/3,1)&gt;=Z$2,CEILING($F$1*IF($Y$21*$AD$21&gt;=$I$1,1,IF($Y$21*$AD$21&gt;=$H$1,0.5,0))*(1+IF($N$21=$D$1,IF($Y$21*$AD$21&gt;=$K$1,0.4,IF($Y$21*$AD$21&gt;=$J$1,0.2,0)),0))*$B23*$D23*$E23^(Z$2-1),0.01),0)</f>
        <v>0</v>
      </c>
      <c r="AA23" s="39">
        <f>IF(CEILING($B23*$D23/3,1)&gt;=AA$2,CEILING($F$1*IF($Y$21*$AD$21&gt;=$I$1,1,IF($Y$21*$AD$21&gt;=$H$1,0.5,0))*(1+IF($N$21=$D$1,IF($Y$21*$AD$21&gt;=$K$1,0.4,IF($Y$21*$AD$21&gt;=$J$1,0.2,0)),0))*$B23*$D23*$E23^(AA$2-1),0.01),0)</f>
        <v>0</v>
      </c>
      <c r="AB23" s="39">
        <f>IF(CEILING($B23*$D23/3,1)&gt;=AB$2,CEILING($F$1*IF($Y$21*$AD$21&gt;=$I$1,1,IF($Y$21*$AD$21&gt;=$H$1,0.5,0))*(1+IF($N$21=$D$1,IF($Y$21*$AD$21&gt;=$K$1,0.4,IF($Y$21*$AD$21&gt;=$J$1,0.2,0)),0))*$B23*$D23*$E23^(AB$2-1),0.01),0)</f>
        <v>0</v>
      </c>
      <c r="AC23" s="39">
        <f>IF(CEILING($B23*$D23/3,1)&gt;=AC$2,CEILING($F$1*IF($Y$21*$AD$21&gt;=$I$1,1,IF($Y$21*$AD$21&gt;=$H$1,0.5,0))*(1+IF($N$21=$D$1,IF($Y$21*$AD$21&gt;=$K$1,0.4,IF($Y$21*$AD$21&gt;=$J$1,0.2,0)),0))*$B23*$D23*$E23^(AC$2-1),0.01),0)</f>
        <v>0</v>
      </c>
      <c r="AD23" s="39">
        <f>IF(CEILING($B23*$D23/3,1)&gt;=AD$2,CEILING($F$1*IF($Y$21*$AD$21&gt;=$I$1,1,IF($Y$21*$AD$21&gt;=$H$1,0.5,0))*(1+IF($N$21=$D$1,IF($Y$21*$AD$21&gt;=$K$1,0.4,IF($Y$21*$AD$21&gt;=$J$1,0.2,0)),0))*$B23*$D23*$E23^(AD$2-1),0.01),0)</f>
        <v>0</v>
      </c>
      <c r="AE23" s="39">
        <f>IF(CEILING($B23*$D23/3,1)&gt;=AE$2,CEILING($F$1*IF($Y$21*$AD$21&gt;=$I$1,1,IF($Y$21*$AD$21&gt;=$H$1,0.5,0))*(1+IF($N$21=$D$1,IF($Y$21*$AD$21&gt;=$K$1,0.4,IF($Y$21*$AD$21&gt;=$J$1,0.2,0)),0))*$B23*$D23*$E23^(AE$2-1),0.01),0)</f>
        <v>0</v>
      </c>
      <c r="AF23" s="39">
        <f>IF(CEILING($B23*$D23/3,1)&gt;=AF$2,CEILING($F$1*IF($Y$21*$AD$21&gt;=$I$1,1,IF($Y$21*$AD$21&gt;=$H$1,0.5,0))*(1+IF($N$21=$D$1,IF($Y$21*$AD$21&gt;=$K$1,0.4,IF($Y$21*$AD$21&gt;=$J$1,0.2,0)),0))*$B23*$D23*$E23^(AF$2-1),0.01),0)</f>
        <v>0</v>
      </c>
      <c r="AG23" s="39">
        <f>IF(CEILING($B23*$D23/3,1)&gt;=AG$2,CEILING($F$1*IF($Y$21*$AD$21&gt;=$I$1,1,IF($Y$21*$AD$21&gt;=$H$1,0.5,0))*(1+IF($N$21=$D$1,IF($Y$21*$AD$21&gt;=$K$1,0.4,IF($Y$21*$AD$21&gt;=$J$1,0.2,0)),0))*$B23*$D23*$E23^(AG$2-1),0.01),0)</f>
        <v>0</v>
      </c>
      <c r="AH23" s="39">
        <f>IF(CEILING($B23*$D23/3,1)&gt;=AH$2,CEILING($F$1*IF($Y$21*$AD$21&gt;=$I$1,1,IF($Y$21*$AD$21&gt;=$H$1,0.5,0))*(1+IF($N$21=$D$1,IF($Y$21*$AD$21&gt;=$K$1,0.4,IF($Y$21*$AD$21&gt;=$J$1,0.2,0)),0))*$B23*$D23*$E23^(AH$2-1),0.01),0)</f>
        <v>0</v>
      </c>
      <c r="AI23" s="40">
        <f>IF(CEILING($B23*$D23/3,1)&gt;=AI$2,CEILING($F$1*IF($Y$21*$AD$21&gt;=$I$1,1,IF($Y$21*$AD$21&gt;=$H$1,0.5,0))*(1+IF($N$21=$D$1,IF($Y$21*$AD$21&gt;=$K$1,0.4,IF($Y$21*$AD$21&gt;=$J$1,0.2,0)),0))*$B23*$D23*$E23^(AI$2-1),0.01),0)</f>
        <v>0</v>
      </c>
    </row>
    <row r="24" spans="1:35" x14ac:dyDescent="0.25">
      <c r="A24" s="58">
        <v>3</v>
      </c>
      <c r="B24" s="60">
        <v>1</v>
      </c>
      <c r="C24" s="16">
        <v>0</v>
      </c>
      <c r="D24" s="67">
        <f>CEILING(1+MIN(Y$21,T$21-C24-1)+MAX((T$21-C24-1-Y$21)/$M$1,0),1)</f>
        <v>20</v>
      </c>
      <c r="E24" s="63">
        <f>MAX(($G$1/($F$1*D24))^(1/(ROUNDUP(D24/3,)-1)),2/3)</f>
        <v>0.66666666666666663</v>
      </c>
      <c r="F24" s="39">
        <f>IF(CEILING($B24*$D24/3,1)&gt;=F$2,CEILING($F$1*IF($Y$21*$AD$21&gt;=$I$1,1,IF($Y$21*$AD$21&gt;=$H$1,0.5,0))*(1+IF($N$21=$D$1,IF($Y$21*$AD$21&gt;=$K$1,0.4,IF($Y$21*$AD$21&gt;=$J$1,0.2,0)),0))*$B24*$D24*$E24^(F$2-1),0.01),0)</f>
        <v>1.5</v>
      </c>
      <c r="G24" s="39">
        <f>IF(CEILING($B24*$D24/3,1)&gt;=G$2,CEILING($F$1*IF($Y$21*$AD$21&gt;=$I$1,1,IF($Y$21*$AD$21&gt;=$H$1,0.5,0))*(1+IF($N$21=$D$1,IF($Y$21*$AD$21&gt;=$K$1,0.4,IF($Y$21*$AD$21&gt;=$J$1,0.2,0)),0))*$B24*$D24*$E24^(G$2-1),0.01),0)</f>
        <v>1</v>
      </c>
      <c r="H24" s="39">
        <f>IF(CEILING($B24*$D24/3,1)&gt;=H$2,CEILING($F$1*IF($Y$21*$AD$21&gt;=$I$1,1,IF($Y$21*$AD$21&gt;=$H$1,0.5,0))*(1+IF($N$21=$D$1,IF($Y$21*$AD$21&gt;=$K$1,0.4,IF($Y$21*$AD$21&gt;=$J$1,0.2,0)),0))*$B24*$D24*$E24^(H$2-1),0.01),0)</f>
        <v>0.67</v>
      </c>
      <c r="I24" s="39">
        <f>IF(CEILING($B24*$D24/3,1)&gt;=I$2,CEILING($F$1*IF($Y$21*$AD$21&gt;=$I$1,1,IF($Y$21*$AD$21&gt;=$H$1,0.5,0))*(1+IF($N$21=$D$1,IF($Y$21*$AD$21&gt;=$K$1,0.4,IF($Y$21*$AD$21&gt;=$J$1,0.2,0)),0))*$B24*$D24*$E24^(I$2-1),0.01),0)</f>
        <v>0.45</v>
      </c>
      <c r="J24" s="39">
        <f>IF(CEILING($B24*$D24/3,1)&gt;=J$2,CEILING($F$1*IF($Y$21*$AD$21&gt;=$I$1,1,IF($Y$21*$AD$21&gt;=$H$1,0.5,0))*(1+IF($N$21=$D$1,IF($Y$21*$AD$21&gt;=$K$1,0.4,IF($Y$21*$AD$21&gt;=$J$1,0.2,0)),0))*$B24*$D24*$E24^(J$2-1),0.01),0)</f>
        <v>0.3</v>
      </c>
      <c r="K24" s="39">
        <f>IF(CEILING($B24*$D24/3,1)&gt;=K$2,CEILING($F$1*IF($Y$21*$AD$21&gt;=$I$1,1,IF($Y$21*$AD$21&gt;=$H$1,0.5,0))*(1+IF($N$21=$D$1,IF($Y$21*$AD$21&gt;=$K$1,0.4,IF($Y$21*$AD$21&gt;=$J$1,0.2,0)),0))*$B24*$D24*$E24^(K$2-1),0.01),0)</f>
        <v>0.2</v>
      </c>
      <c r="L24" s="39">
        <f>IF(CEILING($B24*$D24/3,1)&gt;=L$2,CEILING($F$1*IF($Y$21*$AD$21&gt;=$I$1,1,IF($Y$21*$AD$21&gt;=$H$1,0.5,0))*(1+IF($N$21=$D$1,IF($Y$21*$AD$21&gt;=$K$1,0.4,IF($Y$21*$AD$21&gt;=$J$1,0.2,0)),0))*$B24*$D24*$E24^(L$2-1),0.01),0)</f>
        <v>0.14000000000000001</v>
      </c>
      <c r="M24" s="39">
        <f>IF(CEILING($B24*$D24/3,1)&gt;=M$2,CEILING($F$1*IF($Y$21*$AD$21&gt;=$I$1,1,IF($Y$21*$AD$21&gt;=$H$1,0.5,0))*(1+IF($N$21=$D$1,IF($Y$21*$AD$21&gt;=$K$1,0.4,IF($Y$21*$AD$21&gt;=$J$1,0.2,0)),0))*$B24*$D24*$E24^(M$2-1),0.01),0)</f>
        <v>0</v>
      </c>
      <c r="N24" s="39">
        <f>IF(CEILING($B24*$D24/3,1)&gt;=N$2,CEILING($F$1*IF($Y$21*$AD$21&gt;=$I$1,1,IF($Y$21*$AD$21&gt;=$H$1,0.5,0))*(1+IF($N$21=$D$1,IF($Y$21*$AD$21&gt;=$K$1,0.4,IF($Y$21*$AD$21&gt;=$J$1,0.2,0)),0))*$B24*$D24*$E24^(N$2-1),0.01),0)</f>
        <v>0</v>
      </c>
      <c r="O24" s="39">
        <f>IF(CEILING($B24*$D24/3,1)&gt;=O$2,CEILING($F$1*IF($Y$21*$AD$21&gt;=$I$1,1,IF($Y$21*$AD$21&gt;=$H$1,0.5,0))*(1+IF($N$21=$D$1,IF($Y$21*$AD$21&gt;=$K$1,0.4,IF($Y$21*$AD$21&gt;=$J$1,0.2,0)),0))*$B24*$D24*$E24^(O$2-1),0.01),0)</f>
        <v>0</v>
      </c>
      <c r="P24" s="39">
        <f>IF(CEILING($B24*$D24/3,1)&gt;=P$2,CEILING($F$1*IF($Y$21*$AD$21&gt;=$I$1,1,IF($Y$21*$AD$21&gt;=$H$1,0.5,0))*(1+IF($N$21=$D$1,IF($Y$21*$AD$21&gt;=$K$1,0.4,IF($Y$21*$AD$21&gt;=$J$1,0.2,0)),0))*$B24*$D24*$E24^(P$2-1),0.01),0)</f>
        <v>0</v>
      </c>
      <c r="Q24" s="39">
        <f>IF(CEILING($B24*$D24/3,1)&gt;=Q$2,CEILING($F$1*IF($Y$21*$AD$21&gt;=$I$1,1,IF($Y$21*$AD$21&gt;=$H$1,0.5,0))*(1+IF($N$21=$D$1,IF($Y$21*$AD$21&gt;=$K$1,0.4,IF($Y$21*$AD$21&gt;=$J$1,0.2,0)),0))*$B24*$D24*$E24^(Q$2-1),0.01),0)</f>
        <v>0</v>
      </c>
      <c r="R24" s="39">
        <f>IF(CEILING($B24*$D24/3,1)&gt;=R$2,CEILING($F$1*IF($Y$21*$AD$21&gt;=$I$1,1,IF($Y$21*$AD$21&gt;=$H$1,0.5,0))*(1+IF($N$21=$D$1,IF($Y$21*$AD$21&gt;=$K$1,0.4,IF($Y$21*$AD$21&gt;=$J$1,0.2,0)),0))*$B24*$D24*$E24^(R$2-1),0.01),0)</f>
        <v>0</v>
      </c>
      <c r="S24" s="39">
        <f>IF(CEILING($B24*$D24/3,1)&gt;=S$2,CEILING($F$1*IF($Y$21*$AD$21&gt;=$I$1,1,IF($Y$21*$AD$21&gt;=$H$1,0.5,0))*(1+IF($N$21=$D$1,IF($Y$21*$AD$21&gt;=$K$1,0.4,IF($Y$21*$AD$21&gt;=$J$1,0.2,0)),0))*$B24*$D24*$E24^(S$2-1),0.01),0)</f>
        <v>0</v>
      </c>
      <c r="T24" s="39">
        <f>IF(CEILING($B24*$D24/3,1)&gt;=T$2,CEILING($F$1*IF($Y$21*$AD$21&gt;=$I$1,1,IF($Y$21*$AD$21&gt;=$H$1,0.5,0))*(1+IF($N$21=$D$1,IF($Y$21*$AD$21&gt;=$K$1,0.4,IF($Y$21*$AD$21&gt;=$J$1,0.2,0)),0))*$B24*$D24*$E24^(T$2-1),0.01),0)</f>
        <v>0</v>
      </c>
      <c r="U24" s="39">
        <f>IF(CEILING($B24*$D24/3,1)&gt;=U$2,CEILING($F$1*IF($Y$21*$AD$21&gt;=$I$1,1,IF($Y$21*$AD$21&gt;=$H$1,0.5,0))*(1+IF($N$21=$D$1,IF($Y$21*$AD$21&gt;=$K$1,0.4,IF($Y$21*$AD$21&gt;=$J$1,0.2,0)),0))*$B24*$D24*$E24^(U$2-1),0.01),0)</f>
        <v>0</v>
      </c>
      <c r="V24" s="39">
        <f>IF(CEILING($B24*$D24/3,1)&gt;=V$2,CEILING($F$1*IF($Y$21*$AD$21&gt;=$I$1,1,IF($Y$21*$AD$21&gt;=$H$1,0.5,0))*(1+IF($N$21=$D$1,IF($Y$21*$AD$21&gt;=$K$1,0.4,IF($Y$21*$AD$21&gt;=$J$1,0.2,0)),0))*$B24*$D24*$E24^(V$2-1),0.01),0)</f>
        <v>0</v>
      </c>
      <c r="W24" s="39">
        <f>IF(CEILING($B24*$D24/3,1)&gt;=W$2,CEILING($F$1*IF($Y$21*$AD$21&gt;=$I$1,1,IF($Y$21*$AD$21&gt;=$H$1,0.5,0))*(1+IF($N$21=$D$1,IF($Y$21*$AD$21&gt;=$K$1,0.4,IF($Y$21*$AD$21&gt;=$J$1,0.2,0)),0))*$B24*$D24*$E24^(W$2-1),0.01),0)</f>
        <v>0</v>
      </c>
      <c r="X24" s="39">
        <f>IF(CEILING($B24*$D24/3,1)&gt;=X$2,CEILING($F$1*IF($Y$21*$AD$21&gt;=$I$1,1,IF($Y$21*$AD$21&gt;=$H$1,0.5,0))*(1+IF($N$21=$D$1,IF($Y$21*$AD$21&gt;=$K$1,0.4,IF($Y$21*$AD$21&gt;=$J$1,0.2,0)),0))*$B24*$D24*$E24^(X$2-1),0.01),0)</f>
        <v>0</v>
      </c>
      <c r="Y24" s="39">
        <f>IF(CEILING($B24*$D24/3,1)&gt;=Y$2,CEILING($F$1*IF($Y$21*$AD$21&gt;=$I$1,1,IF($Y$21*$AD$21&gt;=$H$1,0.5,0))*(1+IF($N$21=$D$1,IF($Y$21*$AD$21&gt;=$K$1,0.4,IF($Y$21*$AD$21&gt;=$J$1,0.2,0)),0))*$B24*$D24*$E24^(Y$2-1),0.01),0)</f>
        <v>0</v>
      </c>
      <c r="Z24" s="39">
        <f>IF(CEILING($B24*$D24/3,1)&gt;=Z$2,CEILING($F$1*IF($Y$21*$AD$21&gt;=$I$1,1,IF($Y$21*$AD$21&gt;=$H$1,0.5,0))*(1+IF($N$21=$D$1,IF($Y$21*$AD$21&gt;=$K$1,0.4,IF($Y$21*$AD$21&gt;=$J$1,0.2,0)),0))*$B24*$D24*$E24^(Z$2-1),0.01),0)</f>
        <v>0</v>
      </c>
      <c r="AA24" s="39">
        <f>IF(CEILING($B24*$D24/3,1)&gt;=AA$2,CEILING($F$1*IF($Y$21*$AD$21&gt;=$I$1,1,IF($Y$21*$AD$21&gt;=$H$1,0.5,0))*(1+IF($N$21=$D$1,IF($Y$21*$AD$21&gt;=$K$1,0.4,IF($Y$21*$AD$21&gt;=$J$1,0.2,0)),0))*$B24*$D24*$E24^(AA$2-1),0.01),0)</f>
        <v>0</v>
      </c>
      <c r="AB24" s="39">
        <f>IF(CEILING($B24*$D24/3,1)&gt;=AB$2,CEILING($F$1*IF($Y$21*$AD$21&gt;=$I$1,1,IF($Y$21*$AD$21&gt;=$H$1,0.5,0))*(1+IF($N$21=$D$1,IF($Y$21*$AD$21&gt;=$K$1,0.4,IF($Y$21*$AD$21&gt;=$J$1,0.2,0)),0))*$B24*$D24*$E24^(AB$2-1),0.01),0)</f>
        <v>0</v>
      </c>
      <c r="AC24" s="39">
        <f>IF(CEILING($B24*$D24/3,1)&gt;=AC$2,CEILING($F$1*IF($Y$21*$AD$21&gt;=$I$1,1,IF($Y$21*$AD$21&gt;=$H$1,0.5,0))*(1+IF($N$21=$D$1,IF($Y$21*$AD$21&gt;=$K$1,0.4,IF($Y$21*$AD$21&gt;=$J$1,0.2,0)),0))*$B24*$D24*$E24^(AC$2-1),0.01),0)</f>
        <v>0</v>
      </c>
      <c r="AD24" s="39">
        <f>IF(CEILING($B24*$D24/3,1)&gt;=AD$2,CEILING($F$1*IF($Y$21*$AD$21&gt;=$I$1,1,IF($Y$21*$AD$21&gt;=$H$1,0.5,0))*(1+IF($N$21=$D$1,IF($Y$21*$AD$21&gt;=$K$1,0.4,IF($Y$21*$AD$21&gt;=$J$1,0.2,0)),0))*$B24*$D24*$E24^(AD$2-1),0.01),0)</f>
        <v>0</v>
      </c>
      <c r="AE24" s="39">
        <f>IF(CEILING($B24*$D24/3,1)&gt;=AE$2,CEILING($F$1*IF($Y$21*$AD$21&gt;=$I$1,1,IF($Y$21*$AD$21&gt;=$H$1,0.5,0))*(1+IF($N$21=$D$1,IF($Y$21*$AD$21&gt;=$K$1,0.4,IF($Y$21*$AD$21&gt;=$J$1,0.2,0)),0))*$B24*$D24*$E24^(AE$2-1),0.01),0)</f>
        <v>0</v>
      </c>
      <c r="AF24" s="39">
        <f>IF(CEILING($B24*$D24/3,1)&gt;=AF$2,CEILING($F$1*IF($Y$21*$AD$21&gt;=$I$1,1,IF($Y$21*$AD$21&gt;=$H$1,0.5,0))*(1+IF($N$21=$D$1,IF($Y$21*$AD$21&gt;=$K$1,0.4,IF($Y$21*$AD$21&gt;=$J$1,0.2,0)),0))*$B24*$D24*$E24^(AF$2-1),0.01),0)</f>
        <v>0</v>
      </c>
      <c r="AG24" s="39">
        <f>IF(CEILING($B24*$D24/3,1)&gt;=AG$2,CEILING($F$1*IF($Y$21*$AD$21&gt;=$I$1,1,IF($Y$21*$AD$21&gt;=$H$1,0.5,0))*(1+IF($N$21=$D$1,IF($Y$21*$AD$21&gt;=$K$1,0.4,IF($Y$21*$AD$21&gt;=$J$1,0.2,0)),0))*$B24*$D24*$E24^(AG$2-1),0.01),0)</f>
        <v>0</v>
      </c>
      <c r="AH24" s="39">
        <f>IF(CEILING($B24*$D24/3,1)&gt;=AH$2,CEILING($F$1*IF($Y$21*$AD$21&gt;=$I$1,1,IF($Y$21*$AD$21&gt;=$H$1,0.5,0))*(1+IF($N$21=$D$1,IF($Y$21*$AD$21&gt;=$K$1,0.4,IF($Y$21*$AD$21&gt;=$J$1,0.2,0)),0))*$B24*$D24*$E24^(AH$2-1),0.01),0)</f>
        <v>0</v>
      </c>
      <c r="AI24" s="40">
        <f>IF(CEILING($B24*$D24/3,1)&gt;=AI$2,CEILING($F$1*IF($Y$21*$AD$21&gt;=$I$1,1,IF($Y$21*$AD$21&gt;=$H$1,0.5,0))*(1+IF($N$21=$D$1,IF($Y$21*$AD$21&gt;=$K$1,0.4,IF($Y$21*$AD$21&gt;=$J$1,0.2,0)),0))*$B24*$D24*$E24^(AI$2-1),0.01),0)</f>
        <v>0</v>
      </c>
    </row>
    <row r="25" spans="1:35" x14ac:dyDescent="0.25">
      <c r="A25" s="58">
        <v>4</v>
      </c>
      <c r="B25" s="60">
        <v>0.9</v>
      </c>
      <c r="C25" s="16">
        <v>0</v>
      </c>
      <c r="D25" s="67">
        <f>CEILING(1+MIN(Y$21,T$21-C25-1)+MAX((T$21-C25-1-Y$21)/$M$1,0),1)</f>
        <v>20</v>
      </c>
      <c r="E25" s="63">
        <f>MAX(($G$1/($F$1*D25))^(1/(ROUNDUP(D25/3,)-1)),2/3)</f>
        <v>0.66666666666666663</v>
      </c>
      <c r="F25" s="39">
        <f>IF(CEILING($B25*$D25/3,1)&gt;=F$2,CEILING($F$1*IF($Y$21*$AD$21&gt;=$I$1,1,IF($Y$21*$AD$21&gt;=$H$1,0.5,0))*(1+IF($N$21=$D$1,IF($Y$21*$AD$21&gt;=$K$1,0.4,IF($Y$21*$AD$21&gt;=$J$1,0.2,0)),0))*$B25*$D25*$E25^(F$2-1),0.01),0)</f>
        <v>1.35</v>
      </c>
      <c r="G25" s="39">
        <f>IF(CEILING($B25*$D25/3,1)&gt;=G$2,CEILING($F$1*IF($Y$21*$AD$21&gt;=$I$1,1,IF($Y$21*$AD$21&gt;=$H$1,0.5,0))*(1+IF($N$21=$D$1,IF($Y$21*$AD$21&gt;=$K$1,0.4,IF($Y$21*$AD$21&gt;=$J$1,0.2,0)),0))*$B25*$D25*$E25^(G$2-1),0.01),0)</f>
        <v>0.9</v>
      </c>
      <c r="H25" s="39">
        <f>IF(CEILING($B25*$D25/3,1)&gt;=H$2,CEILING($F$1*IF($Y$21*$AD$21&gt;=$I$1,1,IF($Y$21*$AD$21&gt;=$H$1,0.5,0))*(1+IF($N$21=$D$1,IF($Y$21*$AD$21&gt;=$K$1,0.4,IF($Y$21*$AD$21&gt;=$J$1,0.2,0)),0))*$B25*$D25*$E25^(H$2-1),0.01),0)</f>
        <v>0.6</v>
      </c>
      <c r="I25" s="39">
        <f>IF(CEILING($B25*$D25/3,1)&gt;=I$2,CEILING($F$1*IF($Y$21*$AD$21&gt;=$I$1,1,IF($Y$21*$AD$21&gt;=$H$1,0.5,0))*(1+IF($N$21=$D$1,IF($Y$21*$AD$21&gt;=$K$1,0.4,IF($Y$21*$AD$21&gt;=$J$1,0.2,0)),0))*$B25*$D25*$E25^(I$2-1),0.01),0)</f>
        <v>0.4</v>
      </c>
      <c r="J25" s="39">
        <f>IF(CEILING($B25*$D25/3,1)&gt;=J$2,CEILING($F$1*IF($Y$21*$AD$21&gt;=$I$1,1,IF($Y$21*$AD$21&gt;=$H$1,0.5,0))*(1+IF($N$21=$D$1,IF($Y$21*$AD$21&gt;=$K$1,0.4,IF($Y$21*$AD$21&gt;=$J$1,0.2,0)),0))*$B25*$D25*$E25^(J$2-1),0.01),0)</f>
        <v>0.27</v>
      </c>
      <c r="K25" s="39">
        <f>IF(CEILING($B25*$D25/3,1)&gt;=K$2,CEILING($F$1*IF($Y$21*$AD$21&gt;=$I$1,1,IF($Y$21*$AD$21&gt;=$H$1,0.5,0))*(1+IF($N$21=$D$1,IF($Y$21*$AD$21&gt;=$K$1,0.4,IF($Y$21*$AD$21&gt;=$J$1,0.2,0)),0))*$B25*$D25*$E25^(K$2-1),0.01),0)</f>
        <v>0.18</v>
      </c>
      <c r="L25" s="39">
        <f>IF(CEILING($B25*$D25/3,1)&gt;=L$2,CEILING($F$1*IF($Y$21*$AD$21&gt;=$I$1,1,IF($Y$21*$AD$21&gt;=$H$1,0.5,0))*(1+IF($N$21=$D$1,IF($Y$21*$AD$21&gt;=$K$1,0.4,IF($Y$21*$AD$21&gt;=$J$1,0.2,0)),0))*$B25*$D25*$E25^(L$2-1),0.01),0)</f>
        <v>0</v>
      </c>
      <c r="M25" s="39">
        <f>IF(CEILING($B25*$D25/3,1)&gt;=M$2,CEILING($F$1*IF($Y$21*$AD$21&gt;=$I$1,1,IF($Y$21*$AD$21&gt;=$H$1,0.5,0))*(1+IF($N$21=$D$1,IF($Y$21*$AD$21&gt;=$K$1,0.4,IF($Y$21*$AD$21&gt;=$J$1,0.2,0)),0))*$B25*$D25*$E25^(M$2-1),0.01),0)</f>
        <v>0</v>
      </c>
      <c r="N25" s="39">
        <f>IF(CEILING($B25*$D25/3,1)&gt;=N$2,CEILING($F$1*IF($Y$21*$AD$21&gt;=$I$1,1,IF($Y$21*$AD$21&gt;=$H$1,0.5,0))*(1+IF($N$21=$D$1,IF($Y$21*$AD$21&gt;=$K$1,0.4,IF($Y$21*$AD$21&gt;=$J$1,0.2,0)),0))*$B25*$D25*$E25^(N$2-1),0.01),0)</f>
        <v>0</v>
      </c>
      <c r="O25" s="39">
        <f>IF(CEILING($B25*$D25/3,1)&gt;=O$2,CEILING($F$1*IF($Y$21*$AD$21&gt;=$I$1,1,IF($Y$21*$AD$21&gt;=$H$1,0.5,0))*(1+IF($N$21=$D$1,IF($Y$21*$AD$21&gt;=$K$1,0.4,IF($Y$21*$AD$21&gt;=$J$1,0.2,0)),0))*$B25*$D25*$E25^(O$2-1),0.01),0)</f>
        <v>0</v>
      </c>
      <c r="P25" s="39">
        <f>IF(CEILING($B25*$D25/3,1)&gt;=P$2,CEILING($F$1*IF($Y$21*$AD$21&gt;=$I$1,1,IF($Y$21*$AD$21&gt;=$H$1,0.5,0))*(1+IF($N$21=$D$1,IF($Y$21*$AD$21&gt;=$K$1,0.4,IF($Y$21*$AD$21&gt;=$J$1,0.2,0)),0))*$B25*$D25*$E25^(P$2-1),0.01),0)</f>
        <v>0</v>
      </c>
      <c r="Q25" s="39">
        <f>IF(CEILING($B25*$D25/3,1)&gt;=Q$2,CEILING($F$1*IF($Y$21*$AD$21&gt;=$I$1,1,IF($Y$21*$AD$21&gt;=$H$1,0.5,0))*(1+IF($N$21=$D$1,IF($Y$21*$AD$21&gt;=$K$1,0.4,IF($Y$21*$AD$21&gt;=$J$1,0.2,0)),0))*$B25*$D25*$E25^(Q$2-1),0.01),0)</f>
        <v>0</v>
      </c>
      <c r="R25" s="39">
        <f>IF(CEILING($B25*$D25/3,1)&gt;=R$2,CEILING($F$1*IF($Y$21*$AD$21&gt;=$I$1,1,IF($Y$21*$AD$21&gt;=$H$1,0.5,0))*(1+IF($N$21=$D$1,IF($Y$21*$AD$21&gt;=$K$1,0.4,IF($Y$21*$AD$21&gt;=$J$1,0.2,0)),0))*$B25*$D25*$E25^(R$2-1),0.01),0)</f>
        <v>0</v>
      </c>
      <c r="S25" s="39">
        <f>IF(CEILING($B25*$D25/3,1)&gt;=S$2,CEILING($F$1*IF($Y$21*$AD$21&gt;=$I$1,1,IF($Y$21*$AD$21&gt;=$H$1,0.5,0))*(1+IF($N$21=$D$1,IF($Y$21*$AD$21&gt;=$K$1,0.4,IF($Y$21*$AD$21&gt;=$J$1,0.2,0)),0))*$B25*$D25*$E25^(S$2-1),0.01),0)</f>
        <v>0</v>
      </c>
      <c r="T25" s="39">
        <f>IF(CEILING($B25*$D25/3,1)&gt;=T$2,CEILING($F$1*IF($Y$21*$AD$21&gt;=$I$1,1,IF($Y$21*$AD$21&gt;=$H$1,0.5,0))*(1+IF($N$21=$D$1,IF($Y$21*$AD$21&gt;=$K$1,0.4,IF($Y$21*$AD$21&gt;=$J$1,0.2,0)),0))*$B25*$D25*$E25^(T$2-1),0.01),0)</f>
        <v>0</v>
      </c>
      <c r="U25" s="39">
        <f>IF(CEILING($B25*$D25/3,1)&gt;=U$2,CEILING($F$1*IF($Y$21*$AD$21&gt;=$I$1,1,IF($Y$21*$AD$21&gt;=$H$1,0.5,0))*(1+IF($N$21=$D$1,IF($Y$21*$AD$21&gt;=$K$1,0.4,IF($Y$21*$AD$21&gt;=$J$1,0.2,0)),0))*$B25*$D25*$E25^(U$2-1),0.01),0)</f>
        <v>0</v>
      </c>
      <c r="V25" s="39">
        <f>IF(CEILING($B25*$D25/3,1)&gt;=V$2,CEILING($F$1*IF($Y$21*$AD$21&gt;=$I$1,1,IF($Y$21*$AD$21&gt;=$H$1,0.5,0))*(1+IF($N$21=$D$1,IF($Y$21*$AD$21&gt;=$K$1,0.4,IF($Y$21*$AD$21&gt;=$J$1,0.2,0)),0))*$B25*$D25*$E25^(V$2-1),0.01),0)</f>
        <v>0</v>
      </c>
      <c r="W25" s="39">
        <f>IF(CEILING($B25*$D25/3,1)&gt;=W$2,CEILING($F$1*IF($Y$21*$AD$21&gt;=$I$1,1,IF($Y$21*$AD$21&gt;=$H$1,0.5,0))*(1+IF($N$21=$D$1,IF($Y$21*$AD$21&gt;=$K$1,0.4,IF($Y$21*$AD$21&gt;=$J$1,0.2,0)),0))*$B25*$D25*$E25^(W$2-1),0.01),0)</f>
        <v>0</v>
      </c>
      <c r="X25" s="39">
        <f>IF(CEILING($B25*$D25/3,1)&gt;=X$2,CEILING($F$1*IF($Y$21*$AD$21&gt;=$I$1,1,IF($Y$21*$AD$21&gt;=$H$1,0.5,0))*(1+IF($N$21=$D$1,IF($Y$21*$AD$21&gt;=$K$1,0.4,IF($Y$21*$AD$21&gt;=$J$1,0.2,0)),0))*$B25*$D25*$E25^(X$2-1),0.01),0)</f>
        <v>0</v>
      </c>
      <c r="Y25" s="39">
        <f>IF(CEILING($B25*$D25/3,1)&gt;=Y$2,CEILING($F$1*IF($Y$21*$AD$21&gt;=$I$1,1,IF($Y$21*$AD$21&gt;=$H$1,0.5,0))*(1+IF($N$21=$D$1,IF($Y$21*$AD$21&gt;=$K$1,0.4,IF($Y$21*$AD$21&gt;=$J$1,0.2,0)),0))*$B25*$D25*$E25^(Y$2-1),0.01),0)</f>
        <v>0</v>
      </c>
      <c r="Z25" s="39">
        <f>IF(CEILING($B25*$D25/3,1)&gt;=Z$2,CEILING($F$1*IF($Y$21*$AD$21&gt;=$I$1,1,IF($Y$21*$AD$21&gt;=$H$1,0.5,0))*(1+IF($N$21=$D$1,IF($Y$21*$AD$21&gt;=$K$1,0.4,IF($Y$21*$AD$21&gt;=$J$1,0.2,0)),0))*$B25*$D25*$E25^(Z$2-1),0.01),0)</f>
        <v>0</v>
      </c>
      <c r="AA25" s="39">
        <f>IF(CEILING($B25*$D25/3,1)&gt;=AA$2,CEILING($F$1*IF($Y$21*$AD$21&gt;=$I$1,1,IF($Y$21*$AD$21&gt;=$H$1,0.5,0))*(1+IF($N$21=$D$1,IF($Y$21*$AD$21&gt;=$K$1,0.4,IF($Y$21*$AD$21&gt;=$J$1,0.2,0)),0))*$B25*$D25*$E25^(AA$2-1),0.01),0)</f>
        <v>0</v>
      </c>
      <c r="AB25" s="39">
        <f>IF(CEILING($B25*$D25/3,1)&gt;=AB$2,CEILING($F$1*IF($Y$21*$AD$21&gt;=$I$1,1,IF($Y$21*$AD$21&gt;=$H$1,0.5,0))*(1+IF($N$21=$D$1,IF($Y$21*$AD$21&gt;=$K$1,0.4,IF($Y$21*$AD$21&gt;=$J$1,0.2,0)),0))*$B25*$D25*$E25^(AB$2-1),0.01),0)</f>
        <v>0</v>
      </c>
      <c r="AC25" s="39">
        <f>IF(CEILING($B25*$D25/3,1)&gt;=AC$2,CEILING($F$1*IF($Y$21*$AD$21&gt;=$I$1,1,IF($Y$21*$AD$21&gt;=$H$1,0.5,0))*(1+IF($N$21=$D$1,IF($Y$21*$AD$21&gt;=$K$1,0.4,IF($Y$21*$AD$21&gt;=$J$1,0.2,0)),0))*$B25*$D25*$E25^(AC$2-1),0.01),0)</f>
        <v>0</v>
      </c>
      <c r="AD25" s="39">
        <f>IF(CEILING($B25*$D25/3,1)&gt;=AD$2,CEILING($F$1*IF($Y$21*$AD$21&gt;=$I$1,1,IF($Y$21*$AD$21&gt;=$H$1,0.5,0))*(1+IF($N$21=$D$1,IF($Y$21*$AD$21&gt;=$K$1,0.4,IF($Y$21*$AD$21&gt;=$J$1,0.2,0)),0))*$B25*$D25*$E25^(AD$2-1),0.01),0)</f>
        <v>0</v>
      </c>
      <c r="AE25" s="39">
        <f>IF(CEILING($B25*$D25/3,1)&gt;=AE$2,CEILING($F$1*IF($Y$21*$AD$21&gt;=$I$1,1,IF($Y$21*$AD$21&gt;=$H$1,0.5,0))*(1+IF($N$21=$D$1,IF($Y$21*$AD$21&gt;=$K$1,0.4,IF($Y$21*$AD$21&gt;=$J$1,0.2,0)),0))*$B25*$D25*$E25^(AE$2-1),0.01),0)</f>
        <v>0</v>
      </c>
      <c r="AF25" s="39">
        <f>IF(CEILING($B25*$D25/3,1)&gt;=AF$2,CEILING($F$1*IF($Y$21*$AD$21&gt;=$I$1,1,IF($Y$21*$AD$21&gt;=$H$1,0.5,0))*(1+IF($N$21=$D$1,IF($Y$21*$AD$21&gt;=$K$1,0.4,IF($Y$21*$AD$21&gt;=$J$1,0.2,0)),0))*$B25*$D25*$E25^(AF$2-1),0.01),0)</f>
        <v>0</v>
      </c>
      <c r="AG25" s="39">
        <f>IF(CEILING($B25*$D25/3,1)&gt;=AG$2,CEILING($F$1*IF($Y$21*$AD$21&gt;=$I$1,1,IF($Y$21*$AD$21&gt;=$H$1,0.5,0))*(1+IF($N$21=$D$1,IF($Y$21*$AD$21&gt;=$K$1,0.4,IF($Y$21*$AD$21&gt;=$J$1,0.2,0)),0))*$B25*$D25*$E25^(AG$2-1),0.01),0)</f>
        <v>0</v>
      </c>
      <c r="AH25" s="39">
        <f>IF(CEILING($B25*$D25/3,1)&gt;=AH$2,CEILING($F$1*IF($Y$21*$AD$21&gt;=$I$1,1,IF($Y$21*$AD$21&gt;=$H$1,0.5,0))*(1+IF($N$21=$D$1,IF($Y$21*$AD$21&gt;=$K$1,0.4,IF($Y$21*$AD$21&gt;=$J$1,0.2,0)),0))*$B25*$D25*$E25^(AH$2-1),0.01),0)</f>
        <v>0</v>
      </c>
      <c r="AI25" s="40">
        <f>IF(CEILING($B25*$D25/3,1)&gt;=AI$2,CEILING($F$1*IF($Y$21*$AD$21&gt;=$I$1,1,IF($Y$21*$AD$21&gt;=$H$1,0.5,0))*(1+IF($N$21=$D$1,IF($Y$21*$AD$21&gt;=$K$1,0.4,IF($Y$21*$AD$21&gt;=$J$1,0.2,0)),0))*$B25*$D25*$E25^(AI$2-1),0.01),0)</f>
        <v>0</v>
      </c>
    </row>
    <row r="26" spans="1:35" x14ac:dyDescent="0.25">
      <c r="A26" s="59">
        <v>5</v>
      </c>
      <c r="B26" s="61">
        <v>0.8</v>
      </c>
      <c r="C26" s="17">
        <v>0</v>
      </c>
      <c r="D26" s="69">
        <f>CEILING(1+MIN(Y$21,T$21-C26-1)+MAX((T$21-C26-1-Y$21)/$M$1,0),1)</f>
        <v>20</v>
      </c>
      <c r="E26" s="65">
        <f>MAX(($G$1/($F$1*D26))^(1/(ROUNDUP(D26/3,)-1)),2/3)</f>
        <v>0.66666666666666663</v>
      </c>
      <c r="F26" s="39">
        <f>IF(CEILING($B26*$D26/3,1)&gt;=F$2,CEILING($F$1*IF($Y$21*$AD$21&gt;=$I$1,1,IF($Y$21*$AD$21&gt;=$H$1,0.5,0))*(1+IF($N$21=$D$1,IF($Y$21*$AD$21&gt;=$K$1,0.4,IF($Y$21*$AD$21&gt;=$J$1,0.2,0)),0))*$B26*$D26*$E26^(F$2-1),0.01),0)</f>
        <v>1.2</v>
      </c>
      <c r="G26" s="39">
        <f>IF(CEILING($B26*$D26/3,1)&gt;=G$2,CEILING($F$1*IF($Y$21*$AD$21&gt;=$I$1,1,IF($Y$21*$AD$21&gt;=$H$1,0.5,0))*(1+IF($N$21=$D$1,IF($Y$21*$AD$21&gt;=$K$1,0.4,IF($Y$21*$AD$21&gt;=$J$1,0.2,0)),0))*$B26*$D26*$E26^(G$2-1),0.01),0)</f>
        <v>0.8</v>
      </c>
      <c r="H26" s="39">
        <f>IF(CEILING($B26*$D26/3,1)&gt;=H$2,CEILING($F$1*IF($Y$21*$AD$21&gt;=$I$1,1,IF($Y$21*$AD$21&gt;=$H$1,0.5,0))*(1+IF($N$21=$D$1,IF($Y$21*$AD$21&gt;=$K$1,0.4,IF($Y$21*$AD$21&gt;=$J$1,0.2,0)),0))*$B26*$D26*$E26^(H$2-1),0.01),0)</f>
        <v>0.54</v>
      </c>
      <c r="I26" s="39">
        <f>IF(CEILING($B26*$D26/3,1)&gt;=I$2,CEILING($F$1*IF($Y$21*$AD$21&gt;=$I$1,1,IF($Y$21*$AD$21&gt;=$H$1,0.5,0))*(1+IF($N$21=$D$1,IF($Y$21*$AD$21&gt;=$K$1,0.4,IF($Y$21*$AD$21&gt;=$J$1,0.2,0)),0))*$B26*$D26*$E26^(I$2-1),0.01),0)</f>
        <v>0.36</v>
      </c>
      <c r="J26" s="39">
        <f>IF(CEILING($B26*$D26/3,1)&gt;=J$2,CEILING($F$1*IF($Y$21*$AD$21&gt;=$I$1,1,IF($Y$21*$AD$21&gt;=$H$1,0.5,0))*(1+IF($N$21=$D$1,IF($Y$21*$AD$21&gt;=$K$1,0.4,IF($Y$21*$AD$21&gt;=$J$1,0.2,0)),0))*$B26*$D26*$E26^(J$2-1),0.01),0)</f>
        <v>0.24</v>
      </c>
      <c r="K26" s="39">
        <f>IF(CEILING($B26*$D26/3,1)&gt;=K$2,CEILING($F$1*IF($Y$21*$AD$21&gt;=$I$1,1,IF($Y$21*$AD$21&gt;=$H$1,0.5,0))*(1+IF($N$21=$D$1,IF($Y$21*$AD$21&gt;=$K$1,0.4,IF($Y$21*$AD$21&gt;=$J$1,0.2,0)),0))*$B26*$D26*$E26^(K$2-1),0.01),0)</f>
        <v>0.16</v>
      </c>
      <c r="L26" s="39">
        <f>IF(CEILING($B26*$D26/3,1)&gt;=L$2,CEILING($F$1*IF($Y$21*$AD$21&gt;=$I$1,1,IF($Y$21*$AD$21&gt;=$H$1,0.5,0))*(1+IF($N$21=$D$1,IF($Y$21*$AD$21&gt;=$K$1,0.4,IF($Y$21*$AD$21&gt;=$J$1,0.2,0)),0))*$B26*$D26*$E26^(L$2-1),0.01),0)</f>
        <v>0</v>
      </c>
      <c r="M26" s="39">
        <f>IF(CEILING($B26*$D26/3,1)&gt;=M$2,CEILING($F$1*IF($Y$21*$AD$21&gt;=$I$1,1,IF($Y$21*$AD$21&gt;=$H$1,0.5,0))*(1+IF($N$21=$D$1,IF($Y$21*$AD$21&gt;=$K$1,0.4,IF($Y$21*$AD$21&gt;=$J$1,0.2,0)),0))*$B26*$D26*$E26^(M$2-1),0.01),0)</f>
        <v>0</v>
      </c>
      <c r="N26" s="39">
        <f>IF(CEILING($B26*$D26/3,1)&gt;=N$2,CEILING($F$1*IF($Y$21*$AD$21&gt;=$I$1,1,IF($Y$21*$AD$21&gt;=$H$1,0.5,0))*(1+IF($N$21=$D$1,IF($Y$21*$AD$21&gt;=$K$1,0.4,IF($Y$21*$AD$21&gt;=$J$1,0.2,0)),0))*$B26*$D26*$E26^(N$2-1),0.01),0)</f>
        <v>0</v>
      </c>
      <c r="O26" s="39">
        <f>IF(CEILING($B26*$D26/3,1)&gt;=O$2,CEILING($F$1*IF($Y$21*$AD$21&gt;=$I$1,1,IF($Y$21*$AD$21&gt;=$H$1,0.5,0))*(1+IF($N$21=$D$1,IF($Y$21*$AD$21&gt;=$K$1,0.4,IF($Y$21*$AD$21&gt;=$J$1,0.2,0)),0))*$B26*$D26*$E26^(O$2-1),0.01),0)</f>
        <v>0</v>
      </c>
      <c r="P26" s="39">
        <f>IF(CEILING($B26*$D26/3,1)&gt;=P$2,CEILING($F$1*IF($Y$21*$AD$21&gt;=$I$1,1,IF($Y$21*$AD$21&gt;=$H$1,0.5,0))*(1+IF($N$21=$D$1,IF($Y$21*$AD$21&gt;=$K$1,0.4,IF($Y$21*$AD$21&gt;=$J$1,0.2,0)),0))*$B26*$D26*$E26^(P$2-1),0.01),0)</f>
        <v>0</v>
      </c>
      <c r="Q26" s="39">
        <f>IF(CEILING($B26*$D26/3,1)&gt;=Q$2,CEILING($F$1*IF($Y$21*$AD$21&gt;=$I$1,1,IF($Y$21*$AD$21&gt;=$H$1,0.5,0))*(1+IF($N$21=$D$1,IF($Y$21*$AD$21&gt;=$K$1,0.4,IF($Y$21*$AD$21&gt;=$J$1,0.2,0)),0))*$B26*$D26*$E26^(Q$2-1),0.01),0)</f>
        <v>0</v>
      </c>
      <c r="R26" s="39">
        <f>IF(CEILING($B26*$D26/3,1)&gt;=R$2,CEILING($F$1*IF($Y$21*$AD$21&gt;=$I$1,1,IF($Y$21*$AD$21&gt;=$H$1,0.5,0))*(1+IF($N$21=$D$1,IF($Y$21*$AD$21&gt;=$K$1,0.4,IF($Y$21*$AD$21&gt;=$J$1,0.2,0)),0))*$B26*$D26*$E26^(R$2-1),0.01),0)</f>
        <v>0</v>
      </c>
      <c r="S26" s="39">
        <f>IF(CEILING($B26*$D26/3,1)&gt;=S$2,CEILING($F$1*IF($Y$21*$AD$21&gt;=$I$1,1,IF($Y$21*$AD$21&gt;=$H$1,0.5,0))*(1+IF($N$21=$D$1,IF($Y$21*$AD$21&gt;=$K$1,0.4,IF($Y$21*$AD$21&gt;=$J$1,0.2,0)),0))*$B26*$D26*$E26^(S$2-1),0.01),0)</f>
        <v>0</v>
      </c>
      <c r="T26" s="39">
        <f>IF(CEILING($B26*$D26/3,1)&gt;=T$2,CEILING($F$1*IF($Y$21*$AD$21&gt;=$I$1,1,IF($Y$21*$AD$21&gt;=$H$1,0.5,0))*(1+IF($N$21=$D$1,IF($Y$21*$AD$21&gt;=$K$1,0.4,IF($Y$21*$AD$21&gt;=$J$1,0.2,0)),0))*$B26*$D26*$E26^(T$2-1),0.01),0)</f>
        <v>0</v>
      </c>
      <c r="U26" s="39">
        <f>IF(CEILING($B26*$D26/3,1)&gt;=U$2,CEILING($F$1*IF($Y$21*$AD$21&gt;=$I$1,1,IF($Y$21*$AD$21&gt;=$H$1,0.5,0))*(1+IF($N$21=$D$1,IF($Y$21*$AD$21&gt;=$K$1,0.4,IF($Y$21*$AD$21&gt;=$J$1,0.2,0)),0))*$B26*$D26*$E26^(U$2-1),0.01),0)</f>
        <v>0</v>
      </c>
      <c r="V26" s="39">
        <f>IF(CEILING($B26*$D26/3,1)&gt;=V$2,CEILING($F$1*IF($Y$21*$AD$21&gt;=$I$1,1,IF($Y$21*$AD$21&gt;=$H$1,0.5,0))*(1+IF($N$21=$D$1,IF($Y$21*$AD$21&gt;=$K$1,0.4,IF($Y$21*$AD$21&gt;=$J$1,0.2,0)),0))*$B26*$D26*$E26^(V$2-1),0.01),0)</f>
        <v>0</v>
      </c>
      <c r="W26" s="39">
        <f>IF(CEILING($B26*$D26/3,1)&gt;=W$2,CEILING($F$1*IF($Y$21*$AD$21&gt;=$I$1,1,IF($Y$21*$AD$21&gt;=$H$1,0.5,0))*(1+IF($N$21=$D$1,IF($Y$21*$AD$21&gt;=$K$1,0.4,IF($Y$21*$AD$21&gt;=$J$1,0.2,0)),0))*$B26*$D26*$E26^(W$2-1),0.01),0)</f>
        <v>0</v>
      </c>
      <c r="X26" s="39">
        <f>IF(CEILING($B26*$D26/3,1)&gt;=X$2,CEILING($F$1*IF($Y$21*$AD$21&gt;=$I$1,1,IF($Y$21*$AD$21&gt;=$H$1,0.5,0))*(1+IF($N$21=$D$1,IF($Y$21*$AD$21&gt;=$K$1,0.4,IF($Y$21*$AD$21&gt;=$J$1,0.2,0)),0))*$B26*$D26*$E26^(X$2-1),0.01),0)</f>
        <v>0</v>
      </c>
      <c r="Y26" s="39">
        <f>IF(CEILING($B26*$D26/3,1)&gt;=Y$2,CEILING($F$1*IF($Y$21*$AD$21&gt;=$I$1,1,IF($Y$21*$AD$21&gt;=$H$1,0.5,0))*(1+IF($N$21=$D$1,IF($Y$21*$AD$21&gt;=$K$1,0.4,IF($Y$21*$AD$21&gt;=$J$1,0.2,0)),0))*$B26*$D26*$E26^(Y$2-1),0.01),0)</f>
        <v>0</v>
      </c>
      <c r="Z26" s="39">
        <f>IF(CEILING($B26*$D26/3,1)&gt;=Z$2,CEILING($F$1*IF($Y$21*$AD$21&gt;=$I$1,1,IF($Y$21*$AD$21&gt;=$H$1,0.5,0))*(1+IF($N$21=$D$1,IF($Y$21*$AD$21&gt;=$K$1,0.4,IF($Y$21*$AD$21&gt;=$J$1,0.2,0)),0))*$B26*$D26*$E26^(Z$2-1),0.01),0)</f>
        <v>0</v>
      </c>
      <c r="AA26" s="39">
        <f>IF(CEILING($B26*$D26/3,1)&gt;=AA$2,CEILING($F$1*IF($Y$21*$AD$21&gt;=$I$1,1,IF($Y$21*$AD$21&gt;=$H$1,0.5,0))*(1+IF($N$21=$D$1,IF($Y$21*$AD$21&gt;=$K$1,0.4,IF($Y$21*$AD$21&gt;=$J$1,0.2,0)),0))*$B26*$D26*$E26^(AA$2-1),0.01),0)</f>
        <v>0</v>
      </c>
      <c r="AB26" s="39">
        <f>IF(CEILING($B26*$D26/3,1)&gt;=AB$2,CEILING($F$1*IF($Y$21*$AD$21&gt;=$I$1,1,IF($Y$21*$AD$21&gt;=$H$1,0.5,0))*(1+IF($N$21=$D$1,IF($Y$21*$AD$21&gt;=$K$1,0.4,IF($Y$21*$AD$21&gt;=$J$1,0.2,0)),0))*$B26*$D26*$E26^(AB$2-1),0.01),0)</f>
        <v>0</v>
      </c>
      <c r="AC26" s="39">
        <f>IF(CEILING($B26*$D26/3,1)&gt;=AC$2,CEILING($F$1*IF($Y$21*$AD$21&gt;=$I$1,1,IF($Y$21*$AD$21&gt;=$H$1,0.5,0))*(1+IF($N$21=$D$1,IF($Y$21*$AD$21&gt;=$K$1,0.4,IF($Y$21*$AD$21&gt;=$J$1,0.2,0)),0))*$B26*$D26*$E26^(AC$2-1),0.01),0)</f>
        <v>0</v>
      </c>
      <c r="AD26" s="39">
        <f>IF(CEILING($B26*$D26/3,1)&gt;=AD$2,CEILING($F$1*IF($Y$21*$AD$21&gt;=$I$1,1,IF($Y$21*$AD$21&gt;=$H$1,0.5,0))*(1+IF($N$21=$D$1,IF($Y$21*$AD$21&gt;=$K$1,0.4,IF($Y$21*$AD$21&gt;=$J$1,0.2,0)),0))*$B26*$D26*$E26^(AD$2-1),0.01),0)</f>
        <v>0</v>
      </c>
      <c r="AE26" s="39">
        <f>IF(CEILING($B26*$D26/3,1)&gt;=AE$2,CEILING($F$1*IF($Y$21*$AD$21&gt;=$I$1,1,IF($Y$21*$AD$21&gt;=$H$1,0.5,0))*(1+IF($N$21=$D$1,IF($Y$21*$AD$21&gt;=$K$1,0.4,IF($Y$21*$AD$21&gt;=$J$1,0.2,0)),0))*$B26*$D26*$E26^(AE$2-1),0.01),0)</f>
        <v>0</v>
      </c>
      <c r="AF26" s="39">
        <f>IF(CEILING($B26*$D26/3,1)&gt;=AF$2,CEILING($F$1*IF($Y$21*$AD$21&gt;=$I$1,1,IF($Y$21*$AD$21&gt;=$H$1,0.5,0))*(1+IF($N$21=$D$1,IF($Y$21*$AD$21&gt;=$K$1,0.4,IF($Y$21*$AD$21&gt;=$J$1,0.2,0)),0))*$B26*$D26*$E26^(AF$2-1),0.01),0)</f>
        <v>0</v>
      </c>
      <c r="AG26" s="39">
        <f>IF(CEILING($B26*$D26/3,1)&gt;=AG$2,CEILING($F$1*IF($Y$21*$AD$21&gt;=$I$1,1,IF($Y$21*$AD$21&gt;=$H$1,0.5,0))*(1+IF($N$21=$D$1,IF($Y$21*$AD$21&gt;=$K$1,0.4,IF($Y$21*$AD$21&gt;=$J$1,0.2,0)),0))*$B26*$D26*$E26^(AG$2-1),0.01),0)</f>
        <v>0</v>
      </c>
      <c r="AH26" s="39">
        <f>IF(CEILING($B26*$D26/3,1)&gt;=AH$2,CEILING($F$1*IF($Y$21*$AD$21&gt;=$I$1,1,IF($Y$21*$AD$21&gt;=$H$1,0.5,0))*(1+IF($N$21=$D$1,IF($Y$21*$AD$21&gt;=$K$1,0.4,IF($Y$21*$AD$21&gt;=$J$1,0.2,0)),0))*$B26*$D26*$E26^(AH$2-1),0.01),0)</f>
        <v>0</v>
      </c>
      <c r="AI26" s="40">
        <f>IF(CEILING($B26*$D26/3,1)&gt;=AI$2,CEILING($F$1*IF($Y$21*$AD$21&gt;=$I$1,1,IF($Y$21*$AD$21&gt;=$H$1,0.5,0))*(1+IF($N$21=$D$1,IF($Y$21*$AD$21&gt;=$K$1,0.4,IF($Y$21*$AD$21&gt;=$J$1,0.2,0)),0))*$B26*$D26*$E26^(AI$2-1),0.01),0)</f>
        <v>0</v>
      </c>
    </row>
    <row r="27" spans="1:35" x14ac:dyDescent="0.25">
      <c r="A27" s="12"/>
      <c r="B27" s="9"/>
      <c r="C27" s="9"/>
      <c r="D27" s="9"/>
      <c r="E27" s="9"/>
      <c r="F27" s="44"/>
      <c r="G27" s="44"/>
      <c r="H27" s="44"/>
      <c r="I27" s="44"/>
      <c r="J27" s="45"/>
      <c r="K27" s="45"/>
      <c r="L27" s="45"/>
      <c r="M27" s="45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6"/>
    </row>
    <row r="28" spans="1:35" x14ac:dyDescent="0.25">
      <c r="A28" s="14" t="s">
        <v>14</v>
      </c>
    </row>
    <row r="29" spans="1:35" x14ac:dyDescent="0.25">
      <c r="C29" s="119" t="s">
        <v>15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4"/>
    </row>
    <row r="30" spans="1:35" x14ac:dyDescent="0.25">
      <c r="C30" s="104" t="s">
        <v>22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4"/>
    </row>
    <row r="31" spans="1:35" x14ac:dyDescent="0.25">
      <c r="C31" s="104" t="s">
        <v>21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4"/>
    </row>
    <row r="32" spans="1:35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51" spans="1:4" x14ac:dyDescent="0.25">
      <c r="A51" s="1"/>
      <c r="B51" s="1"/>
      <c r="D51" s="14"/>
    </row>
    <row r="52" spans="1:4" x14ac:dyDescent="0.25">
      <c r="C52" s="2"/>
      <c r="D52" s="14"/>
    </row>
  </sheetData>
  <sheetProtection password="C4EE" sheet="1" objects="1" scenarios="1"/>
  <mergeCells count="38">
    <mergeCell ref="C29:AH29"/>
    <mergeCell ref="C30:AH30"/>
    <mergeCell ref="C31:AH31"/>
    <mergeCell ref="N1:X1"/>
    <mergeCell ref="F21:H21"/>
    <mergeCell ref="J21:M21"/>
    <mergeCell ref="N21:O21"/>
    <mergeCell ref="P21:S21"/>
    <mergeCell ref="U21:X21"/>
    <mergeCell ref="Z21:AC21"/>
    <mergeCell ref="F15:H15"/>
    <mergeCell ref="J15:M15"/>
    <mergeCell ref="N15:O15"/>
    <mergeCell ref="P15:S15"/>
    <mergeCell ref="U15:X15"/>
    <mergeCell ref="Z15:AC15"/>
    <mergeCell ref="U3:X3"/>
    <mergeCell ref="F10:H10"/>
    <mergeCell ref="J10:M10"/>
    <mergeCell ref="N10:O10"/>
    <mergeCell ref="P10:S10"/>
    <mergeCell ref="U10:X10"/>
    <mergeCell ref="C32:AH32"/>
    <mergeCell ref="A2:B2"/>
    <mergeCell ref="A3:B3"/>
    <mergeCell ref="C2:D2"/>
    <mergeCell ref="F3:H3"/>
    <mergeCell ref="J3:M3"/>
    <mergeCell ref="N3:O3"/>
    <mergeCell ref="P3:S3"/>
    <mergeCell ref="Z10:AC10"/>
    <mergeCell ref="Z3:AC3"/>
    <mergeCell ref="F6:H6"/>
    <mergeCell ref="J6:M6"/>
    <mergeCell ref="N6:O6"/>
    <mergeCell ref="P6:S6"/>
    <mergeCell ref="U6:X6"/>
    <mergeCell ref="Z6:AC6"/>
  </mergeCells>
  <conditionalFormatting sqref="F4:AI4">
    <cfRule type="cellIs" dxfId="49" priority="6" operator="equal">
      <formula>0</formula>
    </cfRule>
  </conditionalFormatting>
  <conditionalFormatting sqref="F7:AI8">
    <cfRule type="cellIs" dxfId="48" priority="5" operator="equal">
      <formula>0</formula>
    </cfRule>
  </conditionalFormatting>
  <conditionalFormatting sqref="F11:AI13">
    <cfRule type="cellIs" dxfId="47" priority="4" operator="equal">
      <formula>0</formula>
    </cfRule>
  </conditionalFormatting>
  <conditionalFormatting sqref="F16:AI19">
    <cfRule type="cellIs" dxfId="46" priority="3" operator="equal">
      <formula>0</formula>
    </cfRule>
  </conditionalFormatting>
  <conditionalFormatting sqref="F22:AI26">
    <cfRule type="cellIs" dxfId="45" priority="2" operator="equal">
      <formula>0</formula>
    </cfRule>
  </conditionalFormatting>
  <dataValidations count="6">
    <dataValidation allowBlank="1" showInputMessage="1" showErrorMessage="1" promptTitle="Q-værdi" prompt="Andelen af MP for den næste af to placeringer." sqref="E4 E7:E8 E11:E13 E16:E19 E22:E26"/>
    <dataValidation type="whole" operator="greaterThan" allowBlank="1" showInputMessage="1" showErrorMessage="1" errorTitle="Fejl" error="Kun postive heltal" sqref="AD21 AD15 AD10 AD6 AD3 Y21 Y15 Y10 Y6 Y3">
      <formula1>0</formula1>
    </dataValidation>
    <dataValidation allowBlank="1" showInputMessage="1" showErrorMessage="1" promptTitle="&quot;dnul&quot;" prompt="Det beregnede antal deltagere" sqref="D4 D7:D8 D11:D13 D16:D19 D22:D26"/>
    <dataValidation type="whole" operator="greaterThanOrEqual" allowBlank="1" showInputMessage="1" showErrorMessage="1" errorTitle="Fejl" error="Kun postive heltal" promptTitle="Minimum" prompt="Mindst 8 deltagere" sqref="T3 T6 T10 T15 T21">
      <formula1>8</formula1>
    </dataValidation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type="list" showInputMessage="1" showErrorMessage="1" errorTitle="Arrangør" error="Enten Klub eller Distrikt" promptTitle="Arrangør" prompt="Kun klubber  (ikke DBf selv) skal spille mindst 54 spil." sqref="N3:O3 N6:O6 N10:O10 N15:O15 N21:O21">
      <formula1>$C$1:$D$1</formula1>
    </dataValidation>
  </dataValidations>
  <printOptions horizontalCentered="1"/>
  <pageMargins left="0.31496062992125984" right="0.31496062992125984" top="1.7322834645669292" bottom="0.74803149606299213" header="0.31496062992125984" footer="0.31496062992125984"/>
  <pageSetup paperSize="9" scale="87" orientation="landscape" horizontalDpi="4294967295" verticalDpi="4294967295" r:id="rId1"/>
  <headerFooter>
    <oddHeader>&amp;L&amp;G&amp;C&amp;20Guldpoint i enkeltmandsturneringer&amp;RVersion 1.0</oddHeader>
    <oddFooter>&amp;CUdskrevet: 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tabSelected="1" zoomScaleNormal="100" workbookViewId="0">
      <selection activeCell="N3" sqref="N3:O3"/>
    </sheetView>
  </sheetViews>
  <sheetFormatPr defaultRowHeight="15" x14ac:dyDescent="0.25"/>
  <cols>
    <col min="1" max="1" width="2.28515625" style="14" customWidth="1"/>
    <col min="2" max="2" width="5.28515625" style="57" customWidth="1"/>
    <col min="3" max="3" width="5.7109375" style="1" customWidth="1"/>
    <col min="4" max="4" width="4.7109375" style="13" customWidth="1"/>
    <col min="5" max="5" width="9.140625" style="14" customWidth="1"/>
    <col min="6" max="7" width="5.7109375" style="14" customWidth="1"/>
    <col min="8" max="13" width="4.7109375" style="14" customWidth="1"/>
    <col min="14" max="35" width="4.28515625" style="14" customWidth="1"/>
    <col min="36" max="16384" width="9.140625" style="14"/>
  </cols>
  <sheetData>
    <row r="1" spans="1:35" x14ac:dyDescent="0.25">
      <c r="A1" s="20">
        <v>0</v>
      </c>
      <c r="B1" s="20">
        <v>1</v>
      </c>
      <c r="C1" s="18" t="s">
        <v>5</v>
      </c>
      <c r="D1" s="19" t="s">
        <v>27</v>
      </c>
      <c r="E1" s="21"/>
      <c r="F1" s="18">
        <v>2</v>
      </c>
      <c r="G1" s="20">
        <v>1</v>
      </c>
      <c r="H1" s="21">
        <v>12</v>
      </c>
      <c r="I1" s="21">
        <v>18</v>
      </c>
      <c r="J1" s="21">
        <v>100</v>
      </c>
      <c r="K1" s="21">
        <v>150</v>
      </c>
      <c r="L1" s="21">
        <v>39</v>
      </c>
      <c r="M1" s="21">
        <v>5</v>
      </c>
      <c r="N1" s="109" t="s">
        <v>28</v>
      </c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35" x14ac:dyDescent="0.25">
      <c r="A2" s="105" t="s">
        <v>8</v>
      </c>
      <c r="B2" s="106"/>
      <c r="C2" s="110" t="s">
        <v>9</v>
      </c>
      <c r="D2" s="111"/>
      <c r="E2" s="22" t="s">
        <v>13</v>
      </c>
      <c r="F2" s="23">
        <v>1</v>
      </c>
      <c r="G2" s="23">
        <v>2</v>
      </c>
      <c r="H2" s="23">
        <v>3</v>
      </c>
      <c r="I2" s="23">
        <v>4</v>
      </c>
      <c r="J2" s="23">
        <v>5</v>
      </c>
      <c r="K2" s="23">
        <v>6</v>
      </c>
      <c r="L2" s="23">
        <v>7</v>
      </c>
      <c r="M2" s="23">
        <v>8</v>
      </c>
      <c r="N2" s="23">
        <v>9</v>
      </c>
      <c r="O2" s="23">
        <v>10</v>
      </c>
      <c r="P2" s="23">
        <v>11</v>
      </c>
      <c r="Q2" s="23">
        <v>12</v>
      </c>
      <c r="R2" s="23">
        <v>13</v>
      </c>
      <c r="S2" s="23">
        <v>14</v>
      </c>
      <c r="T2" s="23">
        <v>15</v>
      </c>
      <c r="U2" s="23">
        <v>16</v>
      </c>
      <c r="V2" s="23">
        <v>17</v>
      </c>
      <c r="W2" s="23">
        <v>18</v>
      </c>
      <c r="X2" s="23">
        <v>19</v>
      </c>
      <c r="Y2" s="23">
        <v>20</v>
      </c>
      <c r="Z2" s="23">
        <v>21</v>
      </c>
      <c r="AA2" s="23">
        <v>22</v>
      </c>
      <c r="AB2" s="23">
        <v>23</v>
      </c>
      <c r="AC2" s="23">
        <v>24</v>
      </c>
      <c r="AD2" s="23">
        <v>25</v>
      </c>
      <c r="AE2" s="23">
        <v>26</v>
      </c>
      <c r="AF2" s="23">
        <v>27</v>
      </c>
      <c r="AG2" s="23">
        <v>28</v>
      </c>
      <c r="AH2" s="23">
        <v>29</v>
      </c>
      <c r="AI2" s="24">
        <v>30</v>
      </c>
    </row>
    <row r="3" spans="1:35" x14ac:dyDescent="0.25">
      <c r="A3" s="107" t="s">
        <v>7</v>
      </c>
      <c r="B3" s="108"/>
      <c r="C3" s="5" t="s">
        <v>10</v>
      </c>
      <c r="D3" s="66" t="s">
        <v>33</v>
      </c>
      <c r="E3" s="62" t="s">
        <v>12</v>
      </c>
      <c r="F3" s="112" t="s">
        <v>11</v>
      </c>
      <c r="G3" s="112"/>
      <c r="H3" s="112"/>
      <c r="I3" s="25">
        <v>1</v>
      </c>
      <c r="J3" s="113" t="s">
        <v>3</v>
      </c>
      <c r="K3" s="113"/>
      <c r="L3" s="113"/>
      <c r="M3" s="113"/>
      <c r="N3" s="118" t="s">
        <v>27</v>
      </c>
      <c r="O3" s="118"/>
      <c r="P3" s="115" t="s">
        <v>1</v>
      </c>
      <c r="Q3" s="115"/>
      <c r="R3" s="115"/>
      <c r="S3" s="115"/>
      <c r="T3" s="15">
        <v>10</v>
      </c>
      <c r="U3" s="116" t="s">
        <v>2</v>
      </c>
      <c r="V3" s="116"/>
      <c r="W3" s="116"/>
      <c r="X3" s="116"/>
      <c r="Y3" s="15">
        <v>9</v>
      </c>
      <c r="Z3" s="116" t="s">
        <v>4</v>
      </c>
      <c r="AA3" s="116"/>
      <c r="AB3" s="116"/>
      <c r="AC3" s="116"/>
      <c r="AD3" s="15">
        <v>3</v>
      </c>
      <c r="AE3" s="26"/>
      <c r="AF3" s="26"/>
      <c r="AG3" s="26"/>
      <c r="AH3" s="26"/>
      <c r="AI3" s="27"/>
    </row>
    <row r="4" spans="1:35" x14ac:dyDescent="0.25">
      <c r="A4" s="58">
        <v>1</v>
      </c>
      <c r="B4" s="60">
        <v>1</v>
      </c>
      <c r="C4" s="16">
        <v>0</v>
      </c>
      <c r="D4" s="67">
        <f>CEILING(1+MIN(T$3-C4-1,$L$1)+(T$3-C4-1-MIN(T$3-C4-1,$L$1))/$M$1,1)</f>
        <v>10</v>
      </c>
      <c r="E4" s="63">
        <f>MAX(($G$1/($F$1*D4))^(1/(ROUNDUP(D4/3,)-1)),2/3)</f>
        <v>0.66666666666666663</v>
      </c>
      <c r="F4" s="47">
        <f>IF(CEILING($B4*$D4/3,1)&gt;=F$2,CEILING($F$1*IF($Y$3*$AD$3&gt;=$I$1,1,IF($Y$3*$AD$3&gt;=$H$1,0.5,0))*(1+IF($N$3=$D$1,IF($Y$3*$AD$3&gt;=$K$1,0,IF($Y$3*$AD$3&gt;=$J$1,0,0)),0))*$B4*$D4*$E4^(F$2-1),1),0)</f>
        <v>20</v>
      </c>
      <c r="G4" s="47">
        <f>IF(CEILING($B4*$D4/3,1)&gt;=G$2,CEILING($F$1*IF($Y$3*$AD$3&gt;=$I$1,1,IF($Y$3*$AD$3&gt;=$H$1,0.5,0))*(1+IF($N$3=$D$1,IF($Y$3*$AD$3&gt;=$K$1,0,IF($Y$3*$AD$3&gt;=$J$1,0,0)),0))*$B4*$D4*$E4^(G$2-1),1),0)</f>
        <v>14</v>
      </c>
      <c r="H4" s="47">
        <f>IF(CEILING($B4*$D4/3,1)&gt;=H$2,CEILING($F$1*IF($Y$3*$AD$3&gt;=$I$1,1,IF($Y$3*$AD$3&gt;=$H$1,0.5,0))*(1+IF($N$3=$D$1,IF($Y$3*$AD$3&gt;=$K$1,0,IF($Y$3*$AD$3&gt;=$J$1,0,0)),0))*$B4*$D4*$E4^(H$2-1),1),0)</f>
        <v>9</v>
      </c>
      <c r="I4" s="47">
        <f>IF(CEILING($B4*$D4/3,1)&gt;=I$2,CEILING($F$1*IF($Y$3*$AD$3&gt;=$I$1,1,IF($Y$3*$AD$3&gt;=$H$1,0.5,0))*(1+IF($N$3=$D$1,IF($Y$3*$AD$3&gt;=$K$1,0,IF($Y$3*$AD$3&gt;=$J$1,0,0)),0))*$B4*$D4*$E4^(I$2-1),1),0)</f>
        <v>6</v>
      </c>
      <c r="J4" s="47">
        <f>IF(CEILING($B4*$D4/3,1)&gt;=J$2,CEILING($F$1*IF($Y$3*$AD$3&gt;=$I$1,1,IF($Y$3*$AD$3&gt;=$H$1,0.5,0))*(1+IF($N$3=$D$1,IF($Y$3*$AD$3&gt;=$K$1,0,IF($Y$3*$AD$3&gt;=$J$1,0,0)),0))*$B4*$D4*$E4^(J$2-1),1),0)</f>
        <v>0</v>
      </c>
      <c r="K4" s="47">
        <f>IF(CEILING($B4*$D4/3,1)&gt;=K$2,CEILING($F$1*IF($Y$3*$AD$3&gt;=$I$1,1,IF($Y$3*$AD$3&gt;=$H$1,0.5,0))*(1+IF($N$3=$D$1,IF($Y$3*$AD$3&gt;=$K$1,0,IF($Y$3*$AD$3&gt;=$J$1,0,0)),0))*$B4*$D4*$E4^(K$2-1),1),0)</f>
        <v>0</v>
      </c>
      <c r="L4" s="47">
        <f>IF(CEILING($B4*$D4/3,1)&gt;=L$2,CEILING($F$1*IF($Y$3*$AD$3&gt;=$I$1,1,IF($Y$3*$AD$3&gt;=$H$1,0.5,0))*(1+IF($N$3=$D$1,IF($Y$3*$AD$3&gt;=$K$1,0,IF($Y$3*$AD$3&gt;=$J$1,0,0)),0))*$B4*$D4*$E4^(L$2-1),1),0)</f>
        <v>0</v>
      </c>
      <c r="M4" s="47">
        <f>IF(CEILING($B4*$D4/3,1)&gt;=M$2,CEILING($F$1*IF($Y$3*$AD$3&gt;=$I$1,1,IF($Y$3*$AD$3&gt;=$H$1,0.5,0))*(1+IF($N$3=$D$1,IF($Y$3*$AD$3&gt;=$K$1,0,IF($Y$3*$AD$3&gt;=$J$1,0,0)),0))*$B4*$D4*$E4^(M$2-1),1),0)</f>
        <v>0</v>
      </c>
      <c r="N4" s="47">
        <f>IF(CEILING($B4*$D4/3,1)&gt;=N$2,CEILING($F$1*IF($Y$3*$AD$3&gt;=$I$1,1,IF($Y$3*$AD$3&gt;=$H$1,0.5,0))*(1+IF($N$3=$D$1,IF($Y$3*$AD$3&gt;=$K$1,0,IF($Y$3*$AD$3&gt;=$J$1,0,0)),0))*$B4*$D4*$E4^(N$2-1),1),0)</f>
        <v>0</v>
      </c>
      <c r="O4" s="47">
        <f>IF(CEILING($B4*$D4/3,1)&gt;=O$2,CEILING($F$1*IF($Y$3*$AD$3&gt;=$I$1,1,IF($Y$3*$AD$3&gt;=$H$1,0.5,0))*(1+IF($N$3=$D$1,IF($Y$3*$AD$3&gt;=$K$1,0,IF($Y$3*$AD$3&gt;=$J$1,0,0)),0))*$B4*$D4*$E4^(O$2-1),1),0)</f>
        <v>0</v>
      </c>
      <c r="P4" s="47">
        <f>IF(CEILING($B4*$D4/3,1)&gt;=P$2,CEILING($F$1*IF($Y$3*$AD$3&gt;=$I$1,1,IF($Y$3*$AD$3&gt;=$H$1,0.5,0))*(1+IF($N$3=$D$1,IF($Y$3*$AD$3&gt;=$K$1,0,IF($Y$3*$AD$3&gt;=$J$1,0,0)),0))*$B4*$D4*$E4^(P$2-1),1),0)</f>
        <v>0</v>
      </c>
      <c r="Q4" s="47">
        <f>IF(CEILING($B4*$D4/3,1)&gt;=Q$2,CEILING($F$1*IF($Y$3*$AD$3&gt;=$I$1,1,IF($Y$3*$AD$3&gt;=$H$1,0.5,0))*(1+IF($N$3=$D$1,IF($Y$3*$AD$3&gt;=$K$1,0,IF($Y$3*$AD$3&gt;=$J$1,0,0)),0))*$B4*$D4*$E4^(Q$2-1),1),0)</f>
        <v>0</v>
      </c>
      <c r="R4" s="47">
        <f>IF(CEILING($B4*$D4/3,1)&gt;=R$2,CEILING($F$1*IF($Y$3*$AD$3&gt;=$I$1,1,IF($Y$3*$AD$3&gt;=$H$1,0.5,0))*(1+IF($N$3=$D$1,IF($Y$3*$AD$3&gt;=$K$1,0,IF($Y$3*$AD$3&gt;=$J$1,0,0)),0))*$B4*$D4*$E4^(R$2-1),1),0)</f>
        <v>0</v>
      </c>
      <c r="S4" s="47">
        <f>IF(CEILING($B4*$D4/3,1)&gt;=S$2,CEILING($F$1*IF($Y$3*$AD$3&gt;=$I$1,1,IF($Y$3*$AD$3&gt;=$H$1,0.5,0))*(1+IF($N$3=$D$1,IF($Y$3*$AD$3&gt;=$K$1,0,IF($Y$3*$AD$3&gt;=$J$1,0,0)),0))*$B4*$D4*$E4^(S$2-1),1),0)</f>
        <v>0</v>
      </c>
      <c r="T4" s="47">
        <f>IF(CEILING($B4*$D4/3,1)&gt;=T$2,CEILING($F$1*IF($Y$3*$AD$3&gt;=$I$1,1,IF($Y$3*$AD$3&gt;=$H$1,0.5,0))*(1+IF($N$3=$D$1,IF($Y$3*$AD$3&gt;=$K$1,0,IF($Y$3*$AD$3&gt;=$J$1,0,0)),0))*$B4*$D4*$E4^(T$2-1),1),0)</f>
        <v>0</v>
      </c>
      <c r="U4" s="47">
        <f>IF(CEILING($B4*$D4/3,1)&gt;=U$2,CEILING($F$1*IF($Y$3*$AD$3&gt;=$I$1,1,IF($Y$3*$AD$3&gt;=$H$1,0.5,0))*(1+IF($N$3=$D$1,IF($Y$3*$AD$3&gt;=$K$1,0,IF($Y$3*$AD$3&gt;=$J$1,0,0)),0))*$B4*$D4*$E4^(U$2-1),1),0)</f>
        <v>0</v>
      </c>
      <c r="V4" s="47">
        <f>IF(CEILING($B4*$D4/3,1)&gt;=V$2,CEILING($F$1*IF($Y$3*$AD$3&gt;=$I$1,1,IF($Y$3*$AD$3&gt;=$H$1,0.5,0))*(1+IF($N$3=$D$1,IF($Y$3*$AD$3&gt;=$K$1,0,IF($Y$3*$AD$3&gt;=$J$1,0,0)),0))*$B4*$D4*$E4^(V$2-1),1),0)</f>
        <v>0</v>
      </c>
      <c r="W4" s="47">
        <f>IF(CEILING($B4*$D4/3,1)&gt;=W$2,CEILING($F$1*IF($Y$3*$AD$3&gt;=$I$1,1,IF($Y$3*$AD$3&gt;=$H$1,0.5,0))*(1+IF($N$3=$D$1,IF($Y$3*$AD$3&gt;=$K$1,0,IF($Y$3*$AD$3&gt;=$J$1,0,0)),0))*$B4*$D4*$E4^(W$2-1),1),0)</f>
        <v>0</v>
      </c>
      <c r="X4" s="47">
        <f>IF(CEILING($B4*$D4/3,1)&gt;=X$2,CEILING($F$1*IF($Y$3*$AD$3&gt;=$I$1,1,IF($Y$3*$AD$3&gt;=$H$1,0.5,0))*(1+IF($N$3=$D$1,IF($Y$3*$AD$3&gt;=$K$1,0,IF($Y$3*$AD$3&gt;=$J$1,0,0)),0))*$B4*$D4*$E4^(X$2-1),1),0)</f>
        <v>0</v>
      </c>
      <c r="Y4" s="47">
        <f>IF(CEILING($B4*$D4/3,1)&gt;=Y$2,CEILING($F$1*IF($Y$3*$AD$3&gt;=$I$1,1,IF($Y$3*$AD$3&gt;=$H$1,0.5,0))*(1+IF($N$3=$D$1,IF($Y$3*$AD$3&gt;=$K$1,0,IF($Y$3*$AD$3&gt;=$J$1,0,0)),0))*$B4*$D4*$E4^(Y$2-1),1),0)</f>
        <v>0</v>
      </c>
      <c r="Z4" s="47">
        <f>IF(CEILING($B4*$D4/3,1)&gt;=Z$2,CEILING($F$1*IF($Y$3*$AD$3&gt;=$I$1,1,IF($Y$3*$AD$3&gt;=$H$1,0.5,0))*(1+IF($N$3=$D$1,IF($Y$3*$AD$3&gt;=$K$1,0,IF($Y$3*$AD$3&gt;=$J$1,0,0)),0))*$B4*$D4*$E4^(Z$2-1),1),0)</f>
        <v>0</v>
      </c>
      <c r="AA4" s="47">
        <f>IF(CEILING($B4*$D4/3,1)&gt;=AA$2,CEILING($F$1*IF($Y$3*$AD$3&gt;=$I$1,1,IF($Y$3*$AD$3&gt;=$H$1,0.5,0))*(1+IF($N$3=$D$1,IF($Y$3*$AD$3&gt;=$K$1,0,IF($Y$3*$AD$3&gt;=$J$1,0,0)),0))*$B4*$D4*$E4^(AA$2-1),1),0)</f>
        <v>0</v>
      </c>
      <c r="AB4" s="47">
        <f>IF(CEILING($B4*$D4/3,1)&gt;=AB$2,CEILING($F$1*IF($Y$3*$AD$3&gt;=$I$1,1,IF($Y$3*$AD$3&gt;=$H$1,0.5,0))*(1+IF($N$3=$D$1,IF($Y$3*$AD$3&gt;=$K$1,0,IF($Y$3*$AD$3&gt;=$J$1,0,0)),0))*$B4*$D4*$E4^(AB$2-1),1),0)</f>
        <v>0</v>
      </c>
      <c r="AC4" s="47">
        <f>IF(CEILING($B4*$D4/3,1)&gt;=AC$2,CEILING($F$1*IF($Y$3*$AD$3&gt;=$I$1,1,IF($Y$3*$AD$3&gt;=$H$1,0.5,0))*(1+IF($N$3=$D$1,IF($Y$3*$AD$3&gt;=$K$1,0,IF($Y$3*$AD$3&gt;=$J$1,0,0)),0))*$B4*$D4*$E4^(AC$2-1),1),0)</f>
        <v>0</v>
      </c>
      <c r="AD4" s="47">
        <f>IF(CEILING($B4*$D4/3,1)&gt;=AD$2,CEILING($F$1*IF($Y$3*$AD$3&gt;=$I$1,1,IF($Y$3*$AD$3&gt;=$H$1,0.5,0))*(1+IF($N$3=$D$1,IF($Y$3*$AD$3&gt;=$K$1,0,IF($Y$3*$AD$3&gt;=$J$1,0,0)),0))*$B4*$D4*$E4^(AD$2-1),1),0)</f>
        <v>0</v>
      </c>
      <c r="AE4" s="47">
        <f>IF(CEILING($B4*$D4/3,1)&gt;=AE$2,CEILING($F$1*IF($Y$3*$AD$3&gt;=$I$1,1,IF($Y$3*$AD$3&gt;=$H$1,0.5,0))*(1+IF($N$3=$D$1,IF($Y$3*$AD$3&gt;=$K$1,0,IF($Y$3*$AD$3&gt;=$J$1,0,0)),0))*$B4*$D4*$E4^(AE$2-1),1),0)</f>
        <v>0</v>
      </c>
      <c r="AF4" s="47">
        <f>IF(CEILING($B4*$D4/3,1)&gt;=AF$2,CEILING($F$1*IF($Y$3*$AD$3&gt;=$I$1,1,IF($Y$3*$AD$3&gt;=$H$1,0.5,0))*(1+IF($N$3=$D$1,IF($Y$3*$AD$3&gt;=$K$1,0,IF($Y$3*$AD$3&gt;=$J$1,0,0)),0))*$B4*$D4*$E4^(AF$2-1),1),0)</f>
        <v>0</v>
      </c>
      <c r="AG4" s="47">
        <f>IF(CEILING($B4*$D4/3,1)&gt;=AG$2,CEILING($F$1*IF($Y$3*$AD$3&gt;=$I$1,1,IF($Y$3*$AD$3&gt;=$H$1,0.5,0))*(1+IF($N$3=$D$1,IF($Y$3*$AD$3&gt;=$K$1,0,IF($Y$3*$AD$3&gt;=$J$1,0,0)),0))*$B4*$D4*$E4^(AG$2-1),1),0)</f>
        <v>0</v>
      </c>
      <c r="AH4" s="47">
        <f>IF(CEILING($B4*$D4/3,1)&gt;=AH$2,CEILING($F$1*IF($Y$3*$AD$3&gt;=$I$1,1,IF($Y$3*$AD$3&gt;=$H$1,0.5,0))*(1+IF($N$3=$D$1,IF($Y$3*$AD$3&gt;=$K$1,0,IF($Y$3*$AD$3&gt;=$J$1,0,0)),0))*$B4*$D4*$E4^(AH$2-1),1),0)</f>
        <v>0</v>
      </c>
      <c r="AI4" s="48">
        <f>IF(CEILING($B4*$D4/3,1)&gt;=AI$2,CEILING($F$1*IF($Y$3*$AD$3&gt;=$I$1,1,IF($Y$3*$AD$3&gt;=$H$1,0.5,0))*(1+IF($N$3=$D$1,IF($Y$3*$AD$3&gt;=$K$1,0,IF($Y$3*$AD$3&gt;=$J$1,0,0)),0))*$B4*$D4*$E4^(AI$2-1),1),0)</f>
        <v>0</v>
      </c>
    </row>
    <row r="5" spans="1:35" ht="15" customHeight="1" x14ac:dyDescent="0.25">
      <c r="A5" s="58"/>
      <c r="B5" s="60"/>
      <c r="C5" s="6"/>
      <c r="D5" s="68"/>
      <c r="E5" s="64"/>
      <c r="F5" s="49"/>
      <c r="G5" s="49"/>
      <c r="H5" s="49"/>
      <c r="I5" s="49"/>
      <c r="J5" s="50"/>
      <c r="K5" s="50"/>
      <c r="L5" s="50"/>
      <c r="M5" s="50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51"/>
    </row>
    <row r="6" spans="1:35" x14ac:dyDescent="0.25">
      <c r="A6" s="58"/>
      <c r="B6" s="60"/>
      <c r="C6" s="6"/>
      <c r="D6" s="68"/>
      <c r="E6" s="64"/>
      <c r="F6" s="117" t="s">
        <v>11</v>
      </c>
      <c r="G6" s="117"/>
      <c r="H6" s="117"/>
      <c r="I6" s="36">
        <v>2</v>
      </c>
      <c r="J6" s="113" t="s">
        <v>3</v>
      </c>
      <c r="K6" s="113"/>
      <c r="L6" s="113"/>
      <c r="M6" s="113"/>
      <c r="N6" s="118" t="s">
        <v>27</v>
      </c>
      <c r="O6" s="118"/>
      <c r="P6" s="115" t="s">
        <v>1</v>
      </c>
      <c r="Q6" s="115"/>
      <c r="R6" s="115"/>
      <c r="S6" s="115"/>
      <c r="T6" s="15">
        <v>10</v>
      </c>
      <c r="U6" s="116" t="s">
        <v>2</v>
      </c>
      <c r="V6" s="116"/>
      <c r="W6" s="116"/>
      <c r="X6" s="116"/>
      <c r="Y6" s="15">
        <v>9</v>
      </c>
      <c r="Z6" s="116" t="s">
        <v>4</v>
      </c>
      <c r="AA6" s="116"/>
      <c r="AB6" s="116"/>
      <c r="AC6" s="116"/>
      <c r="AD6" s="15">
        <v>3</v>
      </c>
      <c r="AE6" s="26"/>
      <c r="AF6" s="26"/>
      <c r="AG6" s="26"/>
      <c r="AH6" s="26"/>
      <c r="AI6" s="27"/>
    </row>
    <row r="7" spans="1:35" x14ac:dyDescent="0.25">
      <c r="A7" s="58">
        <v>1</v>
      </c>
      <c r="B7" s="60">
        <v>1.1000000000000001</v>
      </c>
      <c r="C7" s="16">
        <v>0</v>
      </c>
      <c r="D7" s="67">
        <f>CEILING(1+MIN(T$6-C7-1,$L$1)+(T$6-C7-1-MIN(T$6-C7-1,$L$1))/$M$1,1)</f>
        <v>10</v>
      </c>
      <c r="E7" s="63">
        <f>MAX(($G$1/($F$1*D7))^(1/(ROUNDUP(D7/3,)-1)),2/3)</f>
        <v>0.66666666666666663</v>
      </c>
      <c r="F7" s="47">
        <f>IF(CEILING($B7*$D7/3,1)&gt;=F$2,CEILING($F$1*IF($Y$6*$AD$6&gt;=$I$1,1,IF($Y$6*$AD$6&gt;=$H$1,0.5,0))*(1+IF($N$6=$D$1,IF($Y$6*$AD$6&gt;=$K$1,0,IF($Y$6*$AD$6&gt;=$J$1,0,0)),0))*$B7*$D7*$E7^(F$2-1),1),0)</f>
        <v>22</v>
      </c>
      <c r="G7" s="47">
        <f>IF(CEILING($B7*$D7/3,1)&gt;=G$2,CEILING($F$1*IF($Y$6*$AD$6&gt;=$I$1,1,IF($Y$6*$AD$6&gt;=$H$1,0.5,0))*(1+IF($N$6=$D$1,IF($Y$6*$AD$6&gt;=$K$1,0,IF($Y$6*$AD$6&gt;=$J$1,0,0)),0))*$B7*$D7*$E7^(G$2-1),1),0)</f>
        <v>15</v>
      </c>
      <c r="H7" s="47">
        <f>IF(CEILING($B7*$D7/3,1)&gt;=H$2,CEILING($F$1*IF($Y$6*$AD$6&gt;=$I$1,1,IF($Y$6*$AD$6&gt;=$H$1,0.5,0))*(1+IF($N$6=$D$1,IF($Y$6*$AD$6&gt;=$K$1,0,IF($Y$6*$AD$6&gt;=$J$1,0,0)),0))*$B7*$D7*$E7^(H$2-1),1),0)</f>
        <v>10</v>
      </c>
      <c r="I7" s="47">
        <f>IF(CEILING($B7*$D7/3,1)&gt;=I$2,CEILING($F$1*IF($Y$6*$AD$6&gt;=$I$1,1,IF($Y$6*$AD$6&gt;=$H$1,0.5,0))*(1+IF($N$6=$D$1,IF($Y$6*$AD$6&gt;=$K$1,0,IF($Y$6*$AD$6&gt;=$J$1,0,0)),0))*$B7*$D7*$E7^(I$2-1),1),0)</f>
        <v>7</v>
      </c>
      <c r="J7" s="47">
        <f>IF(CEILING($B7*$D7/3,1)&gt;=J$2,CEILING($F$1*IF($Y$6*$AD$6&gt;=$I$1,1,IF($Y$6*$AD$6&gt;=$H$1,0.5,0))*(1+IF($N$6=$D$1,IF($Y$6*$AD$6&gt;=$K$1,0,IF($Y$6*$AD$6&gt;=$J$1,0,0)),0))*$B7*$D7*$E7^(J$2-1),1),0)</f>
        <v>0</v>
      </c>
      <c r="K7" s="47">
        <f>IF(CEILING($B7*$D7/3,1)&gt;=K$2,CEILING($F$1*IF($Y$6*$AD$6&gt;=$I$1,1,IF($Y$6*$AD$6&gt;=$H$1,0.5,0))*(1+IF($N$6=$D$1,IF($Y$6*$AD$6&gt;=$K$1,0,IF($Y$6*$AD$6&gt;=$J$1,0,0)),0))*$B7*$D7*$E7^(K$2-1),1),0)</f>
        <v>0</v>
      </c>
      <c r="L7" s="47">
        <f>IF(CEILING($B7*$D7/3,1)&gt;=L$2,CEILING($F$1*IF($Y$6*$AD$6&gt;=$I$1,1,IF($Y$6*$AD$6&gt;=$H$1,0.5,0))*(1+IF($N$6=$D$1,IF($Y$6*$AD$6&gt;=$K$1,0,IF($Y$6*$AD$6&gt;=$J$1,0,0)),0))*$B7*$D7*$E7^(L$2-1),1),0)</f>
        <v>0</v>
      </c>
      <c r="M7" s="47">
        <f>IF(CEILING($B7*$D7/3,1)&gt;=M$2,CEILING($F$1*IF($Y$6*$AD$6&gt;=$I$1,1,IF($Y$6*$AD$6&gt;=$H$1,0.5,0))*(1+IF($N$6=$D$1,IF($Y$6*$AD$6&gt;=$K$1,0,IF($Y$6*$AD$6&gt;=$J$1,0,0)),0))*$B7*$D7*$E7^(M$2-1),1),0)</f>
        <v>0</v>
      </c>
      <c r="N7" s="47">
        <f>IF(CEILING($B7*$D7/3,1)&gt;=N$2,CEILING($F$1*IF($Y$6*$AD$6&gt;=$I$1,1,IF($Y$6*$AD$6&gt;=$H$1,0.5,0))*(1+IF($N$6=$D$1,IF($Y$6*$AD$6&gt;=$K$1,0,IF($Y$6*$AD$6&gt;=$J$1,0,0)),0))*$B7*$D7*$E7^(N$2-1),1),0)</f>
        <v>0</v>
      </c>
      <c r="O7" s="47">
        <f>IF(CEILING($B7*$D7/3,1)&gt;=O$2,CEILING($F$1*IF($Y$6*$AD$6&gt;=$I$1,1,IF($Y$6*$AD$6&gt;=$H$1,0.5,0))*(1+IF($N$6=$D$1,IF($Y$6*$AD$6&gt;=$K$1,0,IF($Y$6*$AD$6&gt;=$J$1,0,0)),0))*$B7*$D7*$E7^(O$2-1),1),0)</f>
        <v>0</v>
      </c>
      <c r="P7" s="47">
        <f>IF(CEILING($B7*$D7/3,1)&gt;=P$2,CEILING($F$1*IF($Y$6*$AD$6&gt;=$I$1,1,IF($Y$6*$AD$6&gt;=$H$1,0.5,0))*(1+IF($N$6=$D$1,IF($Y$6*$AD$6&gt;=$K$1,0,IF($Y$6*$AD$6&gt;=$J$1,0,0)),0))*$B7*$D7*$E7^(P$2-1),1),0)</f>
        <v>0</v>
      </c>
      <c r="Q7" s="47">
        <f>IF(CEILING($B7*$D7/3,1)&gt;=Q$2,CEILING($F$1*IF($Y$6*$AD$6&gt;=$I$1,1,IF($Y$6*$AD$6&gt;=$H$1,0.5,0))*(1+IF($N$6=$D$1,IF($Y$6*$AD$6&gt;=$K$1,0,IF($Y$6*$AD$6&gt;=$J$1,0,0)),0))*$B7*$D7*$E7^(Q$2-1),1),0)</f>
        <v>0</v>
      </c>
      <c r="R7" s="47">
        <f>IF(CEILING($B7*$D7/3,1)&gt;=R$2,CEILING($F$1*IF($Y$6*$AD$6&gt;=$I$1,1,IF($Y$6*$AD$6&gt;=$H$1,0.5,0))*(1+IF($N$6=$D$1,IF($Y$6*$AD$6&gt;=$K$1,0,IF($Y$6*$AD$6&gt;=$J$1,0,0)),0))*$B7*$D7*$E7^(R$2-1),1),0)</f>
        <v>0</v>
      </c>
      <c r="S7" s="47">
        <f>IF(CEILING($B7*$D7/3,1)&gt;=S$2,CEILING($F$1*IF($Y$6*$AD$6&gt;=$I$1,1,IF($Y$6*$AD$6&gt;=$H$1,0.5,0))*(1+IF($N$6=$D$1,IF($Y$6*$AD$6&gt;=$K$1,0,IF($Y$6*$AD$6&gt;=$J$1,0,0)),0))*$B7*$D7*$E7^(S$2-1),1),0)</f>
        <v>0</v>
      </c>
      <c r="T7" s="47">
        <f>IF(CEILING($B7*$D7/3,1)&gt;=T$2,CEILING($F$1*IF($Y$6*$AD$6&gt;=$I$1,1,IF($Y$6*$AD$6&gt;=$H$1,0.5,0))*(1+IF($N$6=$D$1,IF($Y$6*$AD$6&gt;=$K$1,0,IF($Y$6*$AD$6&gt;=$J$1,0,0)),0))*$B7*$D7*$E7^(T$2-1),1),0)</f>
        <v>0</v>
      </c>
      <c r="U7" s="47">
        <f>IF(CEILING($B7*$D7/3,1)&gt;=U$2,CEILING($F$1*IF($Y$6*$AD$6&gt;=$I$1,1,IF($Y$6*$AD$6&gt;=$H$1,0.5,0))*(1+IF($N$6=$D$1,IF($Y$6*$AD$6&gt;=$K$1,0,IF($Y$6*$AD$6&gt;=$J$1,0,0)),0))*$B7*$D7*$E7^(U$2-1),1),0)</f>
        <v>0</v>
      </c>
      <c r="V7" s="47">
        <f>IF(CEILING($B7*$D7/3,1)&gt;=V$2,CEILING($F$1*IF($Y$6*$AD$6&gt;=$I$1,1,IF($Y$6*$AD$6&gt;=$H$1,0.5,0))*(1+IF($N$6=$D$1,IF($Y$6*$AD$6&gt;=$K$1,0,IF($Y$6*$AD$6&gt;=$J$1,0,0)),0))*$B7*$D7*$E7^(V$2-1),1),0)</f>
        <v>0</v>
      </c>
      <c r="W7" s="47">
        <f>IF(CEILING($B7*$D7/3,1)&gt;=W$2,CEILING($F$1*IF($Y$6*$AD$6&gt;=$I$1,1,IF($Y$6*$AD$6&gt;=$H$1,0.5,0))*(1+IF($N$6=$D$1,IF($Y$6*$AD$6&gt;=$K$1,0,IF($Y$6*$AD$6&gt;=$J$1,0,0)),0))*$B7*$D7*$E7^(W$2-1),1),0)</f>
        <v>0</v>
      </c>
      <c r="X7" s="47">
        <f>IF(CEILING($B7*$D7/3,1)&gt;=X$2,CEILING($F$1*IF($Y$6*$AD$6&gt;=$I$1,1,IF($Y$6*$AD$6&gt;=$H$1,0.5,0))*(1+IF($N$6=$D$1,IF($Y$6*$AD$6&gt;=$K$1,0,IF($Y$6*$AD$6&gt;=$J$1,0,0)),0))*$B7*$D7*$E7^(X$2-1),1),0)</f>
        <v>0</v>
      </c>
      <c r="Y7" s="47">
        <f>IF(CEILING($B7*$D7/3,1)&gt;=Y$2,CEILING($F$1*IF($Y$6*$AD$6&gt;=$I$1,1,IF($Y$6*$AD$6&gt;=$H$1,0.5,0))*(1+IF($N$6=$D$1,IF($Y$6*$AD$6&gt;=$K$1,0,IF($Y$6*$AD$6&gt;=$J$1,0,0)),0))*$B7*$D7*$E7^(Y$2-1),1),0)</f>
        <v>0</v>
      </c>
      <c r="Z7" s="47">
        <f>IF(CEILING($B7*$D7/3,1)&gt;=Z$2,CEILING($F$1*IF($Y$6*$AD$6&gt;=$I$1,1,IF($Y$6*$AD$6&gt;=$H$1,0.5,0))*(1+IF($N$6=$D$1,IF($Y$6*$AD$6&gt;=$K$1,0,IF($Y$6*$AD$6&gt;=$J$1,0,0)),0))*$B7*$D7*$E7^(Z$2-1),1),0)</f>
        <v>0</v>
      </c>
      <c r="AA7" s="47">
        <f>IF(CEILING($B7*$D7/3,1)&gt;=AA$2,CEILING($F$1*IF($Y$6*$AD$6&gt;=$I$1,1,IF($Y$6*$AD$6&gt;=$H$1,0.5,0))*(1+IF($N$6=$D$1,IF($Y$6*$AD$6&gt;=$K$1,0,IF($Y$6*$AD$6&gt;=$J$1,0,0)),0))*$B7*$D7*$E7^(AA$2-1),1),0)</f>
        <v>0</v>
      </c>
      <c r="AB7" s="47">
        <f>IF(CEILING($B7*$D7/3,1)&gt;=AB$2,CEILING($F$1*IF($Y$6*$AD$6&gt;=$I$1,1,IF($Y$6*$AD$6&gt;=$H$1,0.5,0))*(1+IF($N$6=$D$1,IF($Y$6*$AD$6&gt;=$K$1,0,IF($Y$6*$AD$6&gt;=$J$1,0,0)),0))*$B7*$D7*$E7^(AB$2-1),1),0)</f>
        <v>0</v>
      </c>
      <c r="AC7" s="47">
        <f>IF(CEILING($B7*$D7/3,1)&gt;=AC$2,CEILING($F$1*IF($Y$6*$AD$6&gt;=$I$1,1,IF($Y$6*$AD$6&gt;=$H$1,0.5,0))*(1+IF($N$6=$D$1,IF($Y$6*$AD$6&gt;=$K$1,0,IF($Y$6*$AD$6&gt;=$J$1,0,0)),0))*$B7*$D7*$E7^(AC$2-1),1),0)</f>
        <v>0</v>
      </c>
      <c r="AD7" s="47">
        <f>IF(CEILING($B7*$D7/3,1)&gt;=AD$2,CEILING($F$1*IF($Y$6*$AD$6&gt;=$I$1,1,IF($Y$6*$AD$6&gt;=$H$1,0.5,0))*(1+IF($N$6=$D$1,IF($Y$6*$AD$6&gt;=$K$1,0,IF($Y$6*$AD$6&gt;=$J$1,0,0)),0))*$B7*$D7*$E7^(AD$2-1),1),0)</f>
        <v>0</v>
      </c>
      <c r="AE7" s="47">
        <f>IF(CEILING($B7*$D7/3,1)&gt;=AE$2,CEILING($F$1*IF($Y$6*$AD$6&gt;=$I$1,1,IF($Y$6*$AD$6&gt;=$H$1,0.5,0))*(1+IF($N$6=$D$1,IF($Y$6*$AD$6&gt;=$K$1,0,IF($Y$6*$AD$6&gt;=$J$1,0,0)),0))*$B7*$D7*$E7^(AE$2-1),1),0)</f>
        <v>0</v>
      </c>
      <c r="AF7" s="47">
        <f>IF(CEILING($B7*$D7/3,1)&gt;=AF$2,CEILING($F$1*IF($Y$6*$AD$6&gt;=$I$1,1,IF($Y$6*$AD$6&gt;=$H$1,0.5,0))*(1+IF($N$6=$D$1,IF($Y$6*$AD$6&gt;=$K$1,0,IF($Y$6*$AD$6&gt;=$J$1,0,0)),0))*$B7*$D7*$E7^(AF$2-1),1),0)</f>
        <v>0</v>
      </c>
      <c r="AG7" s="47">
        <f>IF(CEILING($B7*$D7/3,1)&gt;=AG$2,CEILING($F$1*IF($Y$6*$AD$6&gt;=$I$1,1,IF($Y$6*$AD$6&gt;=$H$1,0.5,0))*(1+IF($N$6=$D$1,IF($Y$6*$AD$6&gt;=$K$1,0,IF($Y$6*$AD$6&gt;=$J$1,0,0)),0))*$B7*$D7*$E7^(AG$2-1),1),0)</f>
        <v>0</v>
      </c>
      <c r="AH7" s="47">
        <f>IF(CEILING($B7*$D7/3,1)&gt;=AH$2,CEILING($F$1*IF($Y$6*$AD$6&gt;=$I$1,1,IF($Y$6*$AD$6&gt;=$H$1,0.5,0))*(1+IF($N$6=$D$1,IF($Y$6*$AD$6&gt;=$K$1,0,IF($Y$6*$AD$6&gt;=$J$1,0,0)),0))*$B7*$D7*$E7^(AH$2-1),1),0)</f>
        <v>0</v>
      </c>
      <c r="AI7" s="48">
        <f>IF(CEILING($B7*$D7/3,1)&gt;=AI$2,CEILING($F$1*IF($Y$6*$AD$6&gt;=$I$1,1,IF($Y$6*$AD$6&gt;=$H$1,0.5,0))*(1+IF($N$6=$D$1,IF($Y$6*$AD$6&gt;=$K$1,0,IF($Y$6*$AD$6&gt;=$J$1,0,0)),0))*$B7*$D7*$E7^(AI$2-1),1),0)</f>
        <v>0</v>
      </c>
    </row>
    <row r="8" spans="1:35" x14ac:dyDescent="0.25">
      <c r="A8" s="58">
        <v>2</v>
      </c>
      <c r="B8" s="60">
        <v>0.9</v>
      </c>
      <c r="C8" s="16">
        <v>0</v>
      </c>
      <c r="D8" s="67">
        <f>CEILING(1+MIN(T$6-C8-1,$L$1)+(T$6-C8-1-MIN(T$6-C8-1,$L$1))/$M$1,1)</f>
        <v>10</v>
      </c>
      <c r="E8" s="63">
        <f>MAX(($G$1/($F$1*D8))^(1/(ROUNDUP(D8/3,)-1)),2/3)</f>
        <v>0.66666666666666663</v>
      </c>
      <c r="F8" s="47">
        <f>IF(CEILING($B8*$D8/3,1)&gt;=F$2,CEILING($F$1*IF($Y$6*$AD$6&gt;=$I$1,1,IF($Y$6*$AD$6&gt;=$H$1,0.5,0))*(1+IF($N$6=$D$1,IF($Y$6*$AD$6&gt;=$K$1,0,IF($Y$6*$AD$6&gt;=$J$1,0,0)),0))*$B8*$D8*$E8^(F$2-1),1),0)</f>
        <v>18</v>
      </c>
      <c r="G8" s="47">
        <f>IF(CEILING($B8*$D8/3,1)&gt;=G$2,CEILING($F$1*IF($Y$6*$AD$6&gt;=$I$1,1,IF($Y$6*$AD$6&gt;=$H$1,0.5,0))*(1+IF($N$6=$D$1,IF($Y$6*$AD$6&gt;=$K$1,0,IF($Y$6*$AD$6&gt;=$J$1,0,0)),0))*$B8*$D8*$E8^(G$2-1),1),0)</f>
        <v>12</v>
      </c>
      <c r="H8" s="47">
        <f>IF(CEILING($B8*$D8/3,1)&gt;=H$2,CEILING($F$1*IF($Y$6*$AD$6&gt;=$I$1,1,IF($Y$6*$AD$6&gt;=$H$1,0.5,0))*(1+IF($N$6=$D$1,IF($Y$6*$AD$6&gt;=$K$1,0,IF($Y$6*$AD$6&gt;=$J$1,0,0)),0))*$B8*$D8*$E8^(H$2-1),1),0)</f>
        <v>8</v>
      </c>
      <c r="I8" s="47">
        <f>IF(CEILING($B8*$D8/3,1)&gt;=I$2,CEILING($F$1*IF($Y$6*$AD$6&gt;=$I$1,1,IF($Y$6*$AD$6&gt;=$H$1,0.5,0))*(1+IF($N$6=$D$1,IF($Y$6*$AD$6&gt;=$K$1,0,IF($Y$6*$AD$6&gt;=$J$1,0,0)),0))*$B8*$D8*$E8^(I$2-1),1),0)</f>
        <v>0</v>
      </c>
      <c r="J8" s="47">
        <f>IF(CEILING($B8*$D8/3,1)&gt;=J$2,CEILING($F$1*IF($Y$6*$AD$6&gt;=$I$1,1,IF($Y$6*$AD$6&gt;=$H$1,0.5,0))*(1+IF($N$6=$D$1,IF($Y$6*$AD$6&gt;=$K$1,0,IF($Y$6*$AD$6&gt;=$J$1,0,0)),0))*$B8*$D8*$E8^(J$2-1),1),0)</f>
        <v>0</v>
      </c>
      <c r="K8" s="47">
        <f>IF(CEILING($B8*$D8/3,1)&gt;=K$2,CEILING($F$1*IF($Y$6*$AD$6&gt;=$I$1,1,IF($Y$6*$AD$6&gt;=$H$1,0.5,0))*(1+IF($N$6=$D$1,IF($Y$6*$AD$6&gt;=$K$1,0,IF($Y$6*$AD$6&gt;=$J$1,0,0)),0))*$B8*$D8*$E8^(K$2-1),1),0)</f>
        <v>0</v>
      </c>
      <c r="L8" s="47">
        <f>IF(CEILING($B8*$D8/3,1)&gt;=L$2,CEILING($F$1*IF($Y$6*$AD$6&gt;=$I$1,1,IF($Y$6*$AD$6&gt;=$H$1,0.5,0))*(1+IF($N$6=$D$1,IF($Y$6*$AD$6&gt;=$K$1,0,IF($Y$6*$AD$6&gt;=$J$1,0,0)),0))*$B8*$D8*$E8^(L$2-1),1),0)</f>
        <v>0</v>
      </c>
      <c r="M8" s="47">
        <f>IF(CEILING($B8*$D8/3,1)&gt;=M$2,CEILING($F$1*IF($Y$6*$AD$6&gt;=$I$1,1,IF($Y$6*$AD$6&gt;=$H$1,0.5,0))*(1+IF($N$6=$D$1,IF($Y$6*$AD$6&gt;=$K$1,0,IF($Y$6*$AD$6&gt;=$J$1,0,0)),0))*$B8*$D8*$E8^(M$2-1),1),0)</f>
        <v>0</v>
      </c>
      <c r="N8" s="47">
        <f>IF(CEILING($B8*$D8/3,1)&gt;=N$2,CEILING($F$1*IF($Y$6*$AD$6&gt;=$I$1,1,IF($Y$6*$AD$6&gt;=$H$1,0.5,0))*(1+IF($N$6=$D$1,IF($Y$6*$AD$6&gt;=$K$1,0,IF($Y$6*$AD$6&gt;=$J$1,0,0)),0))*$B8*$D8*$E8^(N$2-1),1),0)</f>
        <v>0</v>
      </c>
      <c r="O8" s="47">
        <f>IF(CEILING($B8*$D8/3,1)&gt;=O$2,CEILING($F$1*IF($Y$6*$AD$6&gt;=$I$1,1,IF($Y$6*$AD$6&gt;=$H$1,0.5,0))*(1+IF($N$6=$D$1,IF($Y$6*$AD$6&gt;=$K$1,0,IF($Y$6*$AD$6&gt;=$J$1,0,0)),0))*$B8*$D8*$E8^(O$2-1),1),0)</f>
        <v>0</v>
      </c>
      <c r="P8" s="47">
        <f>IF(CEILING($B8*$D8/3,1)&gt;=P$2,CEILING($F$1*IF($Y$6*$AD$6&gt;=$I$1,1,IF($Y$6*$AD$6&gt;=$H$1,0.5,0))*(1+IF($N$6=$D$1,IF($Y$6*$AD$6&gt;=$K$1,0,IF($Y$6*$AD$6&gt;=$J$1,0,0)),0))*$B8*$D8*$E8^(P$2-1),1),0)</f>
        <v>0</v>
      </c>
      <c r="Q8" s="47">
        <f>IF(CEILING($B8*$D8/3,1)&gt;=Q$2,CEILING($F$1*IF($Y$6*$AD$6&gt;=$I$1,1,IF($Y$6*$AD$6&gt;=$H$1,0.5,0))*(1+IF($N$6=$D$1,IF($Y$6*$AD$6&gt;=$K$1,0,IF($Y$6*$AD$6&gt;=$J$1,0,0)),0))*$B8*$D8*$E8^(Q$2-1),1),0)</f>
        <v>0</v>
      </c>
      <c r="R8" s="47">
        <f>IF(CEILING($B8*$D8/3,1)&gt;=R$2,CEILING($F$1*IF($Y$6*$AD$6&gt;=$I$1,1,IF($Y$6*$AD$6&gt;=$H$1,0.5,0))*(1+IF($N$6=$D$1,IF($Y$6*$AD$6&gt;=$K$1,0,IF($Y$6*$AD$6&gt;=$J$1,0,0)),0))*$B8*$D8*$E8^(R$2-1),1),0)</f>
        <v>0</v>
      </c>
      <c r="S8" s="47">
        <f>IF(CEILING($B8*$D8/3,1)&gt;=S$2,CEILING($F$1*IF($Y$6*$AD$6&gt;=$I$1,1,IF($Y$6*$AD$6&gt;=$H$1,0.5,0))*(1+IF($N$6=$D$1,IF($Y$6*$AD$6&gt;=$K$1,0,IF($Y$6*$AD$6&gt;=$J$1,0,0)),0))*$B8*$D8*$E8^(S$2-1),1),0)</f>
        <v>0</v>
      </c>
      <c r="T8" s="47">
        <f>IF(CEILING($B8*$D8/3,1)&gt;=T$2,CEILING($F$1*IF($Y$6*$AD$6&gt;=$I$1,1,IF($Y$6*$AD$6&gt;=$H$1,0.5,0))*(1+IF($N$6=$D$1,IF($Y$6*$AD$6&gt;=$K$1,0,IF($Y$6*$AD$6&gt;=$J$1,0,0)),0))*$B8*$D8*$E8^(T$2-1),1),0)</f>
        <v>0</v>
      </c>
      <c r="U8" s="47">
        <f>IF(CEILING($B8*$D8/3,1)&gt;=U$2,CEILING($F$1*IF($Y$6*$AD$6&gt;=$I$1,1,IF($Y$6*$AD$6&gt;=$H$1,0.5,0))*(1+IF($N$6=$D$1,IF($Y$6*$AD$6&gt;=$K$1,0,IF($Y$6*$AD$6&gt;=$J$1,0,0)),0))*$B8*$D8*$E8^(U$2-1),1),0)</f>
        <v>0</v>
      </c>
      <c r="V8" s="47">
        <f>IF(CEILING($B8*$D8/3,1)&gt;=V$2,CEILING($F$1*IF($Y$6*$AD$6&gt;=$I$1,1,IF($Y$6*$AD$6&gt;=$H$1,0.5,0))*(1+IF($N$6=$D$1,IF($Y$6*$AD$6&gt;=$K$1,0,IF($Y$6*$AD$6&gt;=$J$1,0,0)),0))*$B8*$D8*$E8^(V$2-1),1),0)</f>
        <v>0</v>
      </c>
      <c r="W8" s="47">
        <f>IF(CEILING($B8*$D8/3,1)&gt;=W$2,CEILING($F$1*IF($Y$6*$AD$6&gt;=$I$1,1,IF($Y$6*$AD$6&gt;=$H$1,0.5,0))*(1+IF($N$6=$D$1,IF($Y$6*$AD$6&gt;=$K$1,0,IF($Y$6*$AD$6&gt;=$J$1,0,0)),0))*$B8*$D8*$E8^(W$2-1),1),0)</f>
        <v>0</v>
      </c>
      <c r="X8" s="47">
        <f>IF(CEILING($B8*$D8/3,1)&gt;=X$2,CEILING($F$1*IF($Y$6*$AD$6&gt;=$I$1,1,IF($Y$6*$AD$6&gt;=$H$1,0.5,0))*(1+IF($N$6=$D$1,IF($Y$6*$AD$6&gt;=$K$1,0,IF($Y$6*$AD$6&gt;=$J$1,0,0)),0))*$B8*$D8*$E8^(X$2-1),1),0)</f>
        <v>0</v>
      </c>
      <c r="Y8" s="47">
        <f>IF(CEILING($B8*$D8/3,1)&gt;=Y$2,CEILING($F$1*IF($Y$6*$AD$6&gt;=$I$1,1,IF($Y$6*$AD$6&gt;=$H$1,0.5,0))*(1+IF($N$6=$D$1,IF($Y$6*$AD$6&gt;=$K$1,0,IF($Y$6*$AD$6&gt;=$J$1,0,0)),0))*$B8*$D8*$E8^(Y$2-1),1),0)</f>
        <v>0</v>
      </c>
      <c r="Z8" s="47">
        <f>IF(CEILING($B8*$D8/3,1)&gt;=Z$2,CEILING($F$1*IF($Y$6*$AD$6&gt;=$I$1,1,IF($Y$6*$AD$6&gt;=$H$1,0.5,0))*(1+IF($N$6=$D$1,IF($Y$6*$AD$6&gt;=$K$1,0,IF($Y$6*$AD$6&gt;=$J$1,0,0)),0))*$B8*$D8*$E8^(Z$2-1),1),0)</f>
        <v>0</v>
      </c>
      <c r="AA8" s="47">
        <f>IF(CEILING($B8*$D8/3,1)&gt;=AA$2,CEILING($F$1*IF($Y$6*$AD$6&gt;=$I$1,1,IF($Y$6*$AD$6&gt;=$H$1,0.5,0))*(1+IF($N$6=$D$1,IF($Y$6*$AD$6&gt;=$K$1,0,IF($Y$6*$AD$6&gt;=$J$1,0,0)),0))*$B8*$D8*$E8^(AA$2-1),1),0)</f>
        <v>0</v>
      </c>
      <c r="AB8" s="47">
        <f>IF(CEILING($B8*$D8/3,1)&gt;=AB$2,CEILING($F$1*IF($Y$6*$AD$6&gt;=$I$1,1,IF($Y$6*$AD$6&gt;=$H$1,0.5,0))*(1+IF($N$6=$D$1,IF($Y$6*$AD$6&gt;=$K$1,0,IF($Y$6*$AD$6&gt;=$J$1,0,0)),0))*$B8*$D8*$E8^(AB$2-1),1),0)</f>
        <v>0</v>
      </c>
      <c r="AC8" s="47">
        <f>IF(CEILING($B8*$D8/3,1)&gt;=AC$2,CEILING($F$1*IF($Y$6*$AD$6&gt;=$I$1,1,IF($Y$6*$AD$6&gt;=$H$1,0.5,0))*(1+IF($N$6=$D$1,IF($Y$6*$AD$6&gt;=$K$1,0,IF($Y$6*$AD$6&gt;=$J$1,0,0)),0))*$B8*$D8*$E8^(AC$2-1),1),0)</f>
        <v>0</v>
      </c>
      <c r="AD8" s="47">
        <f>IF(CEILING($B8*$D8/3,1)&gt;=AD$2,CEILING($F$1*IF($Y$6*$AD$6&gt;=$I$1,1,IF($Y$6*$AD$6&gt;=$H$1,0.5,0))*(1+IF($N$6=$D$1,IF($Y$6*$AD$6&gt;=$K$1,0,IF($Y$6*$AD$6&gt;=$J$1,0,0)),0))*$B8*$D8*$E8^(AD$2-1),1),0)</f>
        <v>0</v>
      </c>
      <c r="AE8" s="47">
        <f>IF(CEILING($B8*$D8/3,1)&gt;=AE$2,CEILING($F$1*IF($Y$6*$AD$6&gt;=$I$1,1,IF($Y$6*$AD$6&gt;=$H$1,0.5,0))*(1+IF($N$6=$D$1,IF($Y$6*$AD$6&gt;=$K$1,0,IF($Y$6*$AD$6&gt;=$J$1,0,0)),0))*$B8*$D8*$E8^(AE$2-1),1),0)</f>
        <v>0</v>
      </c>
      <c r="AF8" s="47">
        <f>IF(CEILING($B8*$D8/3,1)&gt;=AF$2,CEILING($F$1*IF($Y$6*$AD$6&gt;=$I$1,1,IF($Y$6*$AD$6&gt;=$H$1,0.5,0))*(1+IF($N$6=$D$1,IF($Y$6*$AD$6&gt;=$K$1,0,IF($Y$6*$AD$6&gt;=$J$1,0,0)),0))*$B8*$D8*$E8^(AF$2-1),1),0)</f>
        <v>0</v>
      </c>
      <c r="AG8" s="47">
        <f>IF(CEILING($B8*$D8/3,1)&gt;=AG$2,CEILING($F$1*IF($Y$6*$AD$6&gt;=$I$1,1,IF($Y$6*$AD$6&gt;=$H$1,0.5,0))*(1+IF($N$6=$D$1,IF($Y$6*$AD$6&gt;=$K$1,0,IF($Y$6*$AD$6&gt;=$J$1,0,0)),0))*$B8*$D8*$E8^(AG$2-1),1),0)</f>
        <v>0</v>
      </c>
      <c r="AH8" s="47">
        <f>IF(CEILING($B8*$D8/3,1)&gt;=AH$2,CEILING($F$1*IF($Y$6*$AD$6&gt;=$I$1,1,IF($Y$6*$AD$6&gt;=$H$1,0.5,0))*(1+IF($N$6=$D$1,IF($Y$6*$AD$6&gt;=$K$1,0,IF($Y$6*$AD$6&gt;=$J$1,0,0)),0))*$B8*$D8*$E8^(AH$2-1),1),0)</f>
        <v>0</v>
      </c>
      <c r="AI8" s="48">
        <f>IF(CEILING($B8*$D8/3,1)&gt;=AI$2,CEILING($F$1*IF($Y$6*$AD$6&gt;=$I$1,1,IF($Y$6*$AD$6&gt;=$H$1,0.5,0))*(1+IF($N$6=$D$1,IF($Y$6*$AD$6&gt;=$K$1,0,IF($Y$6*$AD$6&gt;=$J$1,0,0)),0))*$B8*$D8*$E8^(AI$2-1),1),0)</f>
        <v>0</v>
      </c>
    </row>
    <row r="9" spans="1:35" ht="15" customHeight="1" x14ac:dyDescent="0.25">
      <c r="A9" s="58"/>
      <c r="B9" s="60"/>
      <c r="C9" s="6"/>
      <c r="D9" s="68"/>
      <c r="E9" s="64"/>
      <c r="F9" s="49"/>
      <c r="G9" s="49"/>
      <c r="H9" s="49"/>
      <c r="I9" s="49"/>
      <c r="J9" s="50"/>
      <c r="K9" s="50"/>
      <c r="L9" s="50"/>
      <c r="M9" s="50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51"/>
    </row>
    <row r="10" spans="1:35" x14ac:dyDescent="0.25">
      <c r="A10" s="58"/>
      <c r="B10" s="60"/>
      <c r="C10" s="6"/>
      <c r="D10" s="68"/>
      <c r="E10" s="64"/>
      <c r="F10" s="117" t="s">
        <v>11</v>
      </c>
      <c r="G10" s="117"/>
      <c r="H10" s="117"/>
      <c r="I10" s="36">
        <v>3</v>
      </c>
      <c r="J10" s="113" t="s">
        <v>3</v>
      </c>
      <c r="K10" s="113"/>
      <c r="L10" s="113"/>
      <c r="M10" s="113"/>
      <c r="N10" s="118" t="s">
        <v>27</v>
      </c>
      <c r="O10" s="118"/>
      <c r="P10" s="115" t="s">
        <v>1</v>
      </c>
      <c r="Q10" s="115"/>
      <c r="R10" s="115"/>
      <c r="S10" s="115"/>
      <c r="T10" s="15">
        <v>10</v>
      </c>
      <c r="U10" s="116" t="s">
        <v>2</v>
      </c>
      <c r="V10" s="116"/>
      <c r="W10" s="116"/>
      <c r="X10" s="116"/>
      <c r="Y10" s="15">
        <v>9</v>
      </c>
      <c r="Z10" s="116" t="s">
        <v>4</v>
      </c>
      <c r="AA10" s="116"/>
      <c r="AB10" s="116"/>
      <c r="AC10" s="116"/>
      <c r="AD10" s="15">
        <v>3</v>
      </c>
      <c r="AE10" s="26"/>
      <c r="AF10" s="26"/>
      <c r="AG10" s="26"/>
      <c r="AH10" s="26"/>
      <c r="AI10" s="27"/>
    </row>
    <row r="11" spans="1:35" x14ac:dyDescent="0.25">
      <c r="A11" s="58">
        <v>1</v>
      </c>
      <c r="B11" s="60">
        <v>1.1499999999999999</v>
      </c>
      <c r="C11" s="16">
        <v>0</v>
      </c>
      <c r="D11" s="67">
        <f>CEILING(1+MIN(T$10-C11-1,$L$1)+(T$10-C11-1-MIN(T$10-C11-1,$L$1))/$M$1,1)</f>
        <v>10</v>
      </c>
      <c r="E11" s="63">
        <f>MAX(($G$1/($F$1*D11))^(1/(ROUNDUP(D11/3,)-1)),2/3)</f>
        <v>0.66666666666666663</v>
      </c>
      <c r="F11" s="47">
        <f>IF(CEILING($B11*$D11/3,1)&gt;=F$2,CEILING($F$1*IF($Y$10*$AD$10&gt;=$I$1,1,IF($Y$10*$AD$10&gt;=$H$1,0.5,0))*(1+IF($N$10=$D$1,IF($Y$10*$AD$10&gt;=$K$1,0,IF($Y$10*$AD$10&gt;=$J$1,0,0)),0))*$B11*$D11*$E11^(F$2-1),1),0)</f>
        <v>23</v>
      </c>
      <c r="G11" s="47">
        <f>IF(CEILING($B11*$D11/3,1)&gt;=G$2,CEILING($F$1*IF($Y$10*$AD$10&gt;=$I$1,1,IF($Y$10*$AD$10&gt;=$H$1,0.5,0))*(1+IF($N$10=$D$1,IF($Y$10*$AD$10&gt;=$K$1,0,IF($Y$10*$AD$10&gt;=$J$1,0,0)),0))*$B11*$D11*$E11^(G$2-1),1),0)</f>
        <v>16</v>
      </c>
      <c r="H11" s="47">
        <f>IF(CEILING($B11*$D11/3,1)&gt;=H$2,CEILING($F$1*IF($Y$10*$AD$10&gt;=$I$1,1,IF($Y$10*$AD$10&gt;=$H$1,0.5,0))*(1+IF($N$10=$D$1,IF($Y$10*$AD$10&gt;=$K$1,0,IF($Y$10*$AD$10&gt;=$J$1,0,0)),0))*$B11*$D11*$E11^(H$2-1),1),0)</f>
        <v>11</v>
      </c>
      <c r="I11" s="47">
        <f>IF(CEILING($B11*$D11/3,1)&gt;=I$2,CEILING($F$1*IF($Y$10*$AD$10&gt;=$I$1,1,IF($Y$10*$AD$10&gt;=$H$1,0.5,0))*(1+IF($N$10=$D$1,IF($Y$10*$AD$10&gt;=$K$1,0,IF($Y$10*$AD$10&gt;=$J$1,0,0)),0))*$B11*$D11*$E11^(I$2-1),1),0)</f>
        <v>7</v>
      </c>
      <c r="J11" s="47">
        <f>IF(CEILING($B11*$D11/3,1)&gt;=J$2,CEILING($F$1*IF($Y$10*$AD$10&gt;=$I$1,1,IF($Y$10*$AD$10&gt;=$H$1,0.5,0))*(1+IF($N$10=$D$1,IF($Y$10*$AD$10&gt;=$K$1,0,IF($Y$10*$AD$10&gt;=$J$1,0,0)),0))*$B11*$D11*$E11^(J$2-1),1),0)</f>
        <v>0</v>
      </c>
      <c r="K11" s="47">
        <f>IF(CEILING($B11*$D11/3,1)&gt;=K$2,CEILING($F$1*IF($Y$10*$AD$10&gt;=$I$1,1,IF($Y$10*$AD$10&gt;=$H$1,0.5,0))*(1+IF($N$10=$D$1,IF($Y$10*$AD$10&gt;=$K$1,0,IF($Y$10*$AD$10&gt;=$J$1,0,0)),0))*$B11*$D11*$E11^(K$2-1),1),0)</f>
        <v>0</v>
      </c>
      <c r="L11" s="47">
        <f>IF(CEILING($B11*$D11/3,1)&gt;=L$2,CEILING($F$1*IF($Y$10*$AD$10&gt;=$I$1,1,IF($Y$10*$AD$10&gt;=$H$1,0.5,0))*(1+IF($N$10=$D$1,IF($Y$10*$AD$10&gt;=$K$1,0,IF($Y$10*$AD$10&gt;=$J$1,0,0)),0))*$B11*$D11*$E11^(L$2-1),1),0)</f>
        <v>0</v>
      </c>
      <c r="M11" s="47">
        <f>IF(CEILING($B11*$D11/3,1)&gt;=M$2,CEILING($F$1*IF($Y$10*$AD$10&gt;=$I$1,1,IF($Y$10*$AD$10&gt;=$H$1,0.5,0))*(1+IF($N$10=$D$1,IF($Y$10*$AD$10&gt;=$K$1,0,IF($Y$10*$AD$10&gt;=$J$1,0,0)),0))*$B11*$D11*$E11^(M$2-1),1),0)</f>
        <v>0</v>
      </c>
      <c r="N11" s="47">
        <f>IF(CEILING($B11*$D11/3,1)&gt;=N$2,CEILING($F$1*IF($Y$10*$AD$10&gt;=$I$1,1,IF($Y$10*$AD$10&gt;=$H$1,0.5,0))*(1+IF($N$10=$D$1,IF($Y$10*$AD$10&gt;=$K$1,0,IF($Y$10*$AD$10&gt;=$J$1,0,0)),0))*$B11*$D11*$E11^(N$2-1),1),0)</f>
        <v>0</v>
      </c>
      <c r="O11" s="47">
        <f>IF(CEILING($B11*$D11/3,1)&gt;=O$2,CEILING($F$1*IF($Y$10*$AD$10&gt;=$I$1,1,IF($Y$10*$AD$10&gt;=$H$1,0.5,0))*(1+IF($N$10=$D$1,IF($Y$10*$AD$10&gt;=$K$1,0,IF($Y$10*$AD$10&gt;=$J$1,0,0)),0))*$B11*$D11*$E11^(O$2-1),1),0)</f>
        <v>0</v>
      </c>
      <c r="P11" s="47">
        <f>IF(CEILING($B11*$D11/3,1)&gt;=P$2,CEILING($F$1*IF($Y$10*$AD$10&gt;=$I$1,1,IF($Y$10*$AD$10&gt;=$H$1,0.5,0))*(1+IF($N$10=$D$1,IF($Y$10*$AD$10&gt;=$K$1,0,IF($Y$10*$AD$10&gt;=$J$1,0,0)),0))*$B11*$D11*$E11^(P$2-1),1),0)</f>
        <v>0</v>
      </c>
      <c r="Q11" s="47">
        <f>IF(CEILING($B11*$D11/3,1)&gt;=Q$2,CEILING($F$1*IF($Y$10*$AD$10&gt;=$I$1,1,IF($Y$10*$AD$10&gt;=$H$1,0.5,0))*(1+IF($N$10=$D$1,IF($Y$10*$AD$10&gt;=$K$1,0,IF($Y$10*$AD$10&gt;=$J$1,0,0)),0))*$B11*$D11*$E11^(Q$2-1),1),0)</f>
        <v>0</v>
      </c>
      <c r="R11" s="47">
        <f>IF(CEILING($B11*$D11/3,1)&gt;=R$2,CEILING($F$1*IF($Y$10*$AD$10&gt;=$I$1,1,IF($Y$10*$AD$10&gt;=$H$1,0.5,0))*(1+IF($N$10=$D$1,IF($Y$10*$AD$10&gt;=$K$1,0,IF($Y$10*$AD$10&gt;=$J$1,0,0)),0))*$B11*$D11*$E11^(R$2-1),1),0)</f>
        <v>0</v>
      </c>
      <c r="S11" s="47">
        <f>IF(CEILING($B11*$D11/3,1)&gt;=S$2,CEILING($F$1*IF($Y$10*$AD$10&gt;=$I$1,1,IF($Y$10*$AD$10&gt;=$H$1,0.5,0))*(1+IF($N$10=$D$1,IF($Y$10*$AD$10&gt;=$K$1,0,IF($Y$10*$AD$10&gt;=$J$1,0,0)),0))*$B11*$D11*$E11^(S$2-1),1),0)</f>
        <v>0</v>
      </c>
      <c r="T11" s="47">
        <f>IF(CEILING($B11*$D11/3,1)&gt;=T$2,CEILING($F$1*IF($Y$10*$AD$10&gt;=$I$1,1,IF($Y$10*$AD$10&gt;=$H$1,0.5,0))*(1+IF($N$10=$D$1,IF($Y$10*$AD$10&gt;=$K$1,0,IF($Y$10*$AD$10&gt;=$J$1,0,0)),0))*$B11*$D11*$E11^(T$2-1),1),0)</f>
        <v>0</v>
      </c>
      <c r="U11" s="47">
        <f>IF(CEILING($B11*$D11/3,1)&gt;=U$2,CEILING($F$1*IF($Y$10*$AD$10&gt;=$I$1,1,IF($Y$10*$AD$10&gt;=$H$1,0.5,0))*(1+IF($N$10=$D$1,IF($Y$10*$AD$10&gt;=$K$1,0,IF($Y$10*$AD$10&gt;=$J$1,0,0)),0))*$B11*$D11*$E11^(U$2-1),1),0)</f>
        <v>0</v>
      </c>
      <c r="V11" s="47">
        <f>IF(CEILING($B11*$D11/3,1)&gt;=V$2,CEILING($F$1*IF($Y$10*$AD$10&gt;=$I$1,1,IF($Y$10*$AD$10&gt;=$H$1,0.5,0))*(1+IF($N$10=$D$1,IF($Y$10*$AD$10&gt;=$K$1,0,IF($Y$10*$AD$10&gt;=$J$1,0,0)),0))*$B11*$D11*$E11^(V$2-1),1),0)</f>
        <v>0</v>
      </c>
      <c r="W11" s="47">
        <f>IF(CEILING($B11*$D11/3,1)&gt;=W$2,CEILING($F$1*IF($Y$10*$AD$10&gt;=$I$1,1,IF($Y$10*$AD$10&gt;=$H$1,0.5,0))*(1+IF($N$10=$D$1,IF($Y$10*$AD$10&gt;=$K$1,0,IF($Y$10*$AD$10&gt;=$J$1,0,0)),0))*$B11*$D11*$E11^(W$2-1),1),0)</f>
        <v>0</v>
      </c>
      <c r="X11" s="47">
        <f>IF(CEILING($B11*$D11/3,1)&gt;=X$2,CEILING($F$1*IF($Y$10*$AD$10&gt;=$I$1,1,IF($Y$10*$AD$10&gt;=$H$1,0.5,0))*(1+IF($N$10=$D$1,IF($Y$10*$AD$10&gt;=$K$1,0,IF($Y$10*$AD$10&gt;=$J$1,0,0)),0))*$B11*$D11*$E11^(X$2-1),1),0)</f>
        <v>0</v>
      </c>
      <c r="Y11" s="47">
        <f>IF(CEILING($B11*$D11/3,1)&gt;=Y$2,CEILING($F$1*IF($Y$10*$AD$10&gt;=$I$1,1,IF($Y$10*$AD$10&gt;=$H$1,0.5,0))*(1+IF($N$10=$D$1,IF($Y$10*$AD$10&gt;=$K$1,0,IF($Y$10*$AD$10&gt;=$J$1,0,0)),0))*$B11*$D11*$E11^(Y$2-1),1),0)</f>
        <v>0</v>
      </c>
      <c r="Z11" s="47">
        <f>IF(CEILING($B11*$D11/3,1)&gt;=Z$2,CEILING($F$1*IF($Y$10*$AD$10&gt;=$I$1,1,IF($Y$10*$AD$10&gt;=$H$1,0.5,0))*(1+IF($N$10=$D$1,IF($Y$10*$AD$10&gt;=$K$1,0,IF($Y$10*$AD$10&gt;=$J$1,0,0)),0))*$B11*$D11*$E11^(Z$2-1),1),0)</f>
        <v>0</v>
      </c>
      <c r="AA11" s="47">
        <f>IF(CEILING($B11*$D11/3,1)&gt;=AA$2,CEILING($F$1*IF($Y$10*$AD$10&gt;=$I$1,1,IF($Y$10*$AD$10&gt;=$H$1,0.5,0))*(1+IF($N$10=$D$1,IF($Y$10*$AD$10&gt;=$K$1,0,IF($Y$10*$AD$10&gt;=$J$1,0,0)),0))*$B11*$D11*$E11^(AA$2-1),1),0)</f>
        <v>0</v>
      </c>
      <c r="AB11" s="47">
        <f>IF(CEILING($B11*$D11/3,1)&gt;=AB$2,CEILING($F$1*IF($Y$10*$AD$10&gt;=$I$1,1,IF($Y$10*$AD$10&gt;=$H$1,0.5,0))*(1+IF($N$10=$D$1,IF($Y$10*$AD$10&gt;=$K$1,0,IF($Y$10*$AD$10&gt;=$J$1,0,0)),0))*$B11*$D11*$E11^(AB$2-1),1),0)</f>
        <v>0</v>
      </c>
      <c r="AC11" s="47">
        <f>IF(CEILING($B11*$D11/3,1)&gt;=AC$2,CEILING($F$1*IF($Y$10*$AD$10&gt;=$I$1,1,IF($Y$10*$AD$10&gt;=$H$1,0.5,0))*(1+IF($N$10=$D$1,IF($Y$10*$AD$10&gt;=$K$1,0,IF($Y$10*$AD$10&gt;=$J$1,0,0)),0))*$B11*$D11*$E11^(AC$2-1),1),0)</f>
        <v>0</v>
      </c>
      <c r="AD11" s="47">
        <f>IF(CEILING($B11*$D11/3,1)&gt;=AD$2,CEILING($F$1*IF($Y$10*$AD$10&gt;=$I$1,1,IF($Y$10*$AD$10&gt;=$H$1,0.5,0))*(1+IF($N$10=$D$1,IF($Y$10*$AD$10&gt;=$K$1,0,IF($Y$10*$AD$10&gt;=$J$1,0,0)),0))*$B11*$D11*$E11^(AD$2-1),1),0)</f>
        <v>0</v>
      </c>
      <c r="AE11" s="47">
        <f>IF(CEILING($B11*$D11/3,1)&gt;=AE$2,CEILING($F$1*IF($Y$10*$AD$10&gt;=$I$1,1,IF($Y$10*$AD$10&gt;=$H$1,0.5,0))*(1+IF($N$10=$D$1,IF($Y$10*$AD$10&gt;=$K$1,0,IF($Y$10*$AD$10&gt;=$J$1,0,0)),0))*$B11*$D11*$E11^(AE$2-1),1),0)</f>
        <v>0</v>
      </c>
      <c r="AF11" s="47">
        <f>IF(CEILING($B11*$D11/3,1)&gt;=AF$2,CEILING($F$1*IF($Y$10*$AD$10&gt;=$I$1,1,IF($Y$10*$AD$10&gt;=$H$1,0.5,0))*(1+IF($N$10=$D$1,IF($Y$10*$AD$10&gt;=$K$1,0,IF($Y$10*$AD$10&gt;=$J$1,0,0)),0))*$B11*$D11*$E11^(AF$2-1),1),0)</f>
        <v>0</v>
      </c>
      <c r="AG11" s="47">
        <f>IF(CEILING($B11*$D11/3,1)&gt;=AG$2,CEILING($F$1*IF($Y$10*$AD$10&gt;=$I$1,1,IF($Y$10*$AD$10&gt;=$H$1,0.5,0))*(1+IF($N$10=$D$1,IF($Y$10*$AD$10&gt;=$K$1,0,IF($Y$10*$AD$10&gt;=$J$1,0,0)),0))*$B11*$D11*$E11^(AG$2-1),1),0)</f>
        <v>0</v>
      </c>
      <c r="AH11" s="47">
        <f>IF(CEILING($B11*$D11/3,1)&gt;=AH$2,CEILING($F$1*IF($Y$10*$AD$10&gt;=$I$1,1,IF($Y$10*$AD$10&gt;=$H$1,0.5,0))*(1+IF($N$10=$D$1,IF($Y$10*$AD$10&gt;=$K$1,0,IF($Y$10*$AD$10&gt;=$J$1,0,0)),0))*$B11*$D11*$E11^(AH$2-1),1),0)</f>
        <v>0</v>
      </c>
      <c r="AI11" s="48">
        <f>IF(CEILING($B11*$D11/3,1)&gt;=AI$2,CEILING($F$1*IF($Y$10*$AD$10&gt;=$I$1,1,IF($Y$10*$AD$10&gt;=$H$1,0.5,0))*(1+IF($N$10=$D$1,IF($Y$10*$AD$10&gt;=$K$1,0,IF($Y$10*$AD$10&gt;=$J$1,0,0)),0))*$B11*$D11*$E11^(AI$2-1),1),0)</f>
        <v>0</v>
      </c>
    </row>
    <row r="12" spans="1:35" x14ac:dyDescent="0.25">
      <c r="A12" s="58">
        <v>2</v>
      </c>
      <c r="B12" s="60">
        <v>1</v>
      </c>
      <c r="C12" s="16">
        <v>0</v>
      </c>
      <c r="D12" s="67">
        <f>CEILING(1+MIN(T$10-C12-1,$L$1)+(T$10-C12-1-MIN(T$10-C12-1,$L$1))/$M$1,1)</f>
        <v>10</v>
      </c>
      <c r="E12" s="63">
        <f>MAX(($G$1/($F$1*D12))^(1/(ROUNDUP(D12/3,)-1)),2/3)</f>
        <v>0.66666666666666663</v>
      </c>
      <c r="F12" s="47">
        <f>IF(CEILING($B12*$D12/3,1)&gt;=F$2,CEILING($F$1*IF($Y$10*$AD$10&gt;=$I$1,1,IF($Y$10*$AD$10&gt;=$H$1,0.5,0))*(1+IF($N$10=$D$1,IF($Y$10*$AD$10&gt;=$K$1,0,IF($Y$10*$AD$10&gt;=$J$1,0,0)),0))*$B12*$D12*$E12^(F$2-1),1),0)</f>
        <v>20</v>
      </c>
      <c r="G12" s="47">
        <f>IF(CEILING($B12*$D12/3,1)&gt;=G$2,CEILING($F$1*IF($Y$10*$AD$10&gt;=$I$1,1,IF($Y$10*$AD$10&gt;=$H$1,0.5,0))*(1+IF($N$10=$D$1,IF($Y$10*$AD$10&gt;=$K$1,0,IF($Y$10*$AD$10&gt;=$J$1,0,0)),0))*$B12*$D12*$E12^(G$2-1),1),0)</f>
        <v>14</v>
      </c>
      <c r="H12" s="47">
        <f>IF(CEILING($B12*$D12/3,1)&gt;=H$2,CEILING($F$1*IF($Y$10*$AD$10&gt;=$I$1,1,IF($Y$10*$AD$10&gt;=$H$1,0.5,0))*(1+IF($N$10=$D$1,IF($Y$10*$AD$10&gt;=$K$1,0,IF($Y$10*$AD$10&gt;=$J$1,0,0)),0))*$B12*$D12*$E12^(H$2-1),1),0)</f>
        <v>9</v>
      </c>
      <c r="I12" s="47">
        <f>IF(CEILING($B12*$D12/3,1)&gt;=I$2,CEILING($F$1*IF($Y$10*$AD$10&gt;=$I$1,1,IF($Y$10*$AD$10&gt;=$H$1,0.5,0))*(1+IF($N$10=$D$1,IF($Y$10*$AD$10&gt;=$K$1,0,IF($Y$10*$AD$10&gt;=$J$1,0,0)),0))*$B12*$D12*$E12^(I$2-1),1),0)</f>
        <v>6</v>
      </c>
      <c r="J12" s="47">
        <f>IF(CEILING($B12*$D12/3,1)&gt;=J$2,CEILING($F$1*IF($Y$10*$AD$10&gt;=$I$1,1,IF($Y$10*$AD$10&gt;=$H$1,0.5,0))*(1+IF($N$10=$D$1,IF($Y$10*$AD$10&gt;=$K$1,0,IF($Y$10*$AD$10&gt;=$J$1,0,0)),0))*$B12*$D12*$E12^(J$2-1),1),0)</f>
        <v>0</v>
      </c>
      <c r="K12" s="47">
        <f>IF(CEILING($B12*$D12/3,1)&gt;=K$2,CEILING($F$1*IF($Y$10*$AD$10&gt;=$I$1,1,IF($Y$10*$AD$10&gt;=$H$1,0.5,0))*(1+IF($N$10=$D$1,IF($Y$10*$AD$10&gt;=$K$1,0,IF($Y$10*$AD$10&gt;=$J$1,0,0)),0))*$B12*$D12*$E12^(K$2-1),1),0)</f>
        <v>0</v>
      </c>
      <c r="L12" s="47">
        <f>IF(CEILING($B12*$D12/3,1)&gt;=L$2,CEILING($F$1*IF($Y$10*$AD$10&gt;=$I$1,1,IF($Y$10*$AD$10&gt;=$H$1,0.5,0))*(1+IF($N$10=$D$1,IF($Y$10*$AD$10&gt;=$K$1,0,IF($Y$10*$AD$10&gt;=$J$1,0,0)),0))*$B12*$D12*$E12^(L$2-1),1),0)</f>
        <v>0</v>
      </c>
      <c r="M12" s="47">
        <f>IF(CEILING($B12*$D12/3,1)&gt;=M$2,CEILING($F$1*IF($Y$10*$AD$10&gt;=$I$1,1,IF($Y$10*$AD$10&gt;=$H$1,0.5,0))*(1+IF($N$10=$D$1,IF($Y$10*$AD$10&gt;=$K$1,0,IF($Y$10*$AD$10&gt;=$J$1,0,0)),0))*$B12*$D12*$E12^(M$2-1),1),0)</f>
        <v>0</v>
      </c>
      <c r="N12" s="47">
        <f>IF(CEILING($B12*$D12/3,1)&gt;=N$2,CEILING($F$1*IF($Y$10*$AD$10&gt;=$I$1,1,IF($Y$10*$AD$10&gt;=$H$1,0.5,0))*(1+IF($N$10=$D$1,IF($Y$10*$AD$10&gt;=$K$1,0,IF($Y$10*$AD$10&gt;=$J$1,0,0)),0))*$B12*$D12*$E12^(N$2-1),1),0)</f>
        <v>0</v>
      </c>
      <c r="O12" s="47">
        <f>IF(CEILING($B12*$D12/3,1)&gt;=O$2,CEILING($F$1*IF($Y$10*$AD$10&gt;=$I$1,1,IF($Y$10*$AD$10&gt;=$H$1,0.5,0))*(1+IF($N$10=$D$1,IF($Y$10*$AD$10&gt;=$K$1,0,IF($Y$10*$AD$10&gt;=$J$1,0,0)),0))*$B12*$D12*$E12^(O$2-1),1),0)</f>
        <v>0</v>
      </c>
      <c r="P12" s="47">
        <f>IF(CEILING($B12*$D12/3,1)&gt;=P$2,CEILING($F$1*IF($Y$10*$AD$10&gt;=$I$1,1,IF($Y$10*$AD$10&gt;=$H$1,0.5,0))*(1+IF($N$10=$D$1,IF($Y$10*$AD$10&gt;=$K$1,0,IF($Y$10*$AD$10&gt;=$J$1,0,0)),0))*$B12*$D12*$E12^(P$2-1),1),0)</f>
        <v>0</v>
      </c>
      <c r="Q12" s="47">
        <f>IF(CEILING($B12*$D12/3,1)&gt;=Q$2,CEILING($F$1*IF($Y$10*$AD$10&gt;=$I$1,1,IF($Y$10*$AD$10&gt;=$H$1,0.5,0))*(1+IF($N$10=$D$1,IF($Y$10*$AD$10&gt;=$K$1,0,IF($Y$10*$AD$10&gt;=$J$1,0,0)),0))*$B12*$D12*$E12^(Q$2-1),1),0)</f>
        <v>0</v>
      </c>
      <c r="R12" s="47">
        <f>IF(CEILING($B12*$D12/3,1)&gt;=R$2,CEILING($F$1*IF($Y$10*$AD$10&gt;=$I$1,1,IF($Y$10*$AD$10&gt;=$H$1,0.5,0))*(1+IF($N$10=$D$1,IF($Y$10*$AD$10&gt;=$K$1,0,IF($Y$10*$AD$10&gt;=$J$1,0,0)),0))*$B12*$D12*$E12^(R$2-1),1),0)</f>
        <v>0</v>
      </c>
      <c r="S12" s="47">
        <f>IF(CEILING($B12*$D12/3,1)&gt;=S$2,CEILING($F$1*IF($Y$10*$AD$10&gt;=$I$1,1,IF($Y$10*$AD$10&gt;=$H$1,0.5,0))*(1+IF($N$10=$D$1,IF($Y$10*$AD$10&gt;=$K$1,0,IF($Y$10*$AD$10&gt;=$J$1,0,0)),0))*$B12*$D12*$E12^(S$2-1),1),0)</f>
        <v>0</v>
      </c>
      <c r="T12" s="47">
        <f>IF(CEILING($B12*$D12/3,1)&gt;=T$2,CEILING($F$1*IF($Y$10*$AD$10&gt;=$I$1,1,IF($Y$10*$AD$10&gt;=$H$1,0.5,0))*(1+IF($N$10=$D$1,IF($Y$10*$AD$10&gt;=$K$1,0,IF($Y$10*$AD$10&gt;=$J$1,0,0)),0))*$B12*$D12*$E12^(T$2-1),1),0)</f>
        <v>0</v>
      </c>
      <c r="U12" s="47">
        <f>IF(CEILING($B12*$D12/3,1)&gt;=U$2,CEILING($F$1*IF($Y$10*$AD$10&gt;=$I$1,1,IF($Y$10*$AD$10&gt;=$H$1,0.5,0))*(1+IF($N$10=$D$1,IF($Y$10*$AD$10&gt;=$K$1,0,IF($Y$10*$AD$10&gt;=$J$1,0,0)),0))*$B12*$D12*$E12^(U$2-1),1),0)</f>
        <v>0</v>
      </c>
      <c r="V12" s="47">
        <f>IF(CEILING($B12*$D12/3,1)&gt;=V$2,CEILING($F$1*IF($Y$10*$AD$10&gt;=$I$1,1,IF($Y$10*$AD$10&gt;=$H$1,0.5,0))*(1+IF($N$10=$D$1,IF($Y$10*$AD$10&gt;=$K$1,0,IF($Y$10*$AD$10&gt;=$J$1,0,0)),0))*$B12*$D12*$E12^(V$2-1),1),0)</f>
        <v>0</v>
      </c>
      <c r="W12" s="47">
        <f>IF(CEILING($B12*$D12/3,1)&gt;=W$2,CEILING($F$1*IF($Y$10*$AD$10&gt;=$I$1,1,IF($Y$10*$AD$10&gt;=$H$1,0.5,0))*(1+IF($N$10=$D$1,IF($Y$10*$AD$10&gt;=$K$1,0,IF($Y$10*$AD$10&gt;=$J$1,0,0)),0))*$B12*$D12*$E12^(W$2-1),1),0)</f>
        <v>0</v>
      </c>
      <c r="X12" s="47">
        <f>IF(CEILING($B12*$D12/3,1)&gt;=X$2,CEILING($F$1*IF($Y$10*$AD$10&gt;=$I$1,1,IF($Y$10*$AD$10&gt;=$H$1,0.5,0))*(1+IF($N$10=$D$1,IF($Y$10*$AD$10&gt;=$K$1,0,IF($Y$10*$AD$10&gt;=$J$1,0,0)),0))*$B12*$D12*$E12^(X$2-1),1),0)</f>
        <v>0</v>
      </c>
      <c r="Y12" s="47">
        <f>IF(CEILING($B12*$D12/3,1)&gt;=Y$2,CEILING($F$1*IF($Y$10*$AD$10&gt;=$I$1,1,IF($Y$10*$AD$10&gt;=$H$1,0.5,0))*(1+IF($N$10=$D$1,IF($Y$10*$AD$10&gt;=$K$1,0,IF($Y$10*$AD$10&gt;=$J$1,0,0)),0))*$B12*$D12*$E12^(Y$2-1),1),0)</f>
        <v>0</v>
      </c>
      <c r="Z12" s="47">
        <f>IF(CEILING($B12*$D12/3,1)&gt;=Z$2,CEILING($F$1*IF($Y$10*$AD$10&gt;=$I$1,1,IF($Y$10*$AD$10&gt;=$H$1,0.5,0))*(1+IF($N$10=$D$1,IF($Y$10*$AD$10&gt;=$K$1,0,IF($Y$10*$AD$10&gt;=$J$1,0,0)),0))*$B12*$D12*$E12^(Z$2-1),1),0)</f>
        <v>0</v>
      </c>
      <c r="AA12" s="47">
        <f>IF(CEILING($B12*$D12/3,1)&gt;=AA$2,CEILING($F$1*IF($Y$10*$AD$10&gt;=$I$1,1,IF($Y$10*$AD$10&gt;=$H$1,0.5,0))*(1+IF($N$10=$D$1,IF($Y$10*$AD$10&gt;=$K$1,0,IF($Y$10*$AD$10&gt;=$J$1,0,0)),0))*$B12*$D12*$E12^(AA$2-1),1),0)</f>
        <v>0</v>
      </c>
      <c r="AB12" s="47">
        <f>IF(CEILING($B12*$D12/3,1)&gt;=AB$2,CEILING($F$1*IF($Y$10*$AD$10&gt;=$I$1,1,IF($Y$10*$AD$10&gt;=$H$1,0.5,0))*(1+IF($N$10=$D$1,IF($Y$10*$AD$10&gt;=$K$1,0,IF($Y$10*$AD$10&gt;=$J$1,0,0)),0))*$B12*$D12*$E12^(AB$2-1),1),0)</f>
        <v>0</v>
      </c>
      <c r="AC12" s="47">
        <f>IF(CEILING($B12*$D12/3,1)&gt;=AC$2,CEILING($F$1*IF($Y$10*$AD$10&gt;=$I$1,1,IF($Y$10*$AD$10&gt;=$H$1,0.5,0))*(1+IF($N$10=$D$1,IF($Y$10*$AD$10&gt;=$K$1,0,IF($Y$10*$AD$10&gt;=$J$1,0,0)),0))*$B12*$D12*$E12^(AC$2-1),1),0)</f>
        <v>0</v>
      </c>
      <c r="AD12" s="47">
        <f>IF(CEILING($B12*$D12/3,1)&gt;=AD$2,CEILING($F$1*IF($Y$10*$AD$10&gt;=$I$1,1,IF($Y$10*$AD$10&gt;=$H$1,0.5,0))*(1+IF($N$10=$D$1,IF($Y$10*$AD$10&gt;=$K$1,0,IF($Y$10*$AD$10&gt;=$J$1,0,0)),0))*$B12*$D12*$E12^(AD$2-1),1),0)</f>
        <v>0</v>
      </c>
      <c r="AE12" s="47">
        <f>IF(CEILING($B12*$D12/3,1)&gt;=AE$2,CEILING($F$1*IF($Y$10*$AD$10&gt;=$I$1,1,IF($Y$10*$AD$10&gt;=$H$1,0.5,0))*(1+IF($N$10=$D$1,IF($Y$10*$AD$10&gt;=$K$1,0,IF($Y$10*$AD$10&gt;=$J$1,0,0)),0))*$B12*$D12*$E12^(AE$2-1),1),0)</f>
        <v>0</v>
      </c>
      <c r="AF12" s="47">
        <f>IF(CEILING($B12*$D12/3,1)&gt;=AF$2,CEILING($F$1*IF($Y$10*$AD$10&gt;=$I$1,1,IF($Y$10*$AD$10&gt;=$H$1,0.5,0))*(1+IF($N$10=$D$1,IF($Y$10*$AD$10&gt;=$K$1,0,IF($Y$10*$AD$10&gt;=$J$1,0,0)),0))*$B12*$D12*$E12^(AF$2-1),1),0)</f>
        <v>0</v>
      </c>
      <c r="AG12" s="47">
        <f>IF(CEILING($B12*$D12/3,1)&gt;=AG$2,CEILING($F$1*IF($Y$10*$AD$10&gt;=$I$1,1,IF($Y$10*$AD$10&gt;=$H$1,0.5,0))*(1+IF($N$10=$D$1,IF($Y$10*$AD$10&gt;=$K$1,0,IF($Y$10*$AD$10&gt;=$J$1,0,0)),0))*$B12*$D12*$E12^(AG$2-1),1),0)</f>
        <v>0</v>
      </c>
      <c r="AH12" s="47">
        <f>IF(CEILING($B12*$D12/3,1)&gt;=AH$2,CEILING($F$1*IF($Y$10*$AD$10&gt;=$I$1,1,IF($Y$10*$AD$10&gt;=$H$1,0.5,0))*(1+IF($N$10=$D$1,IF($Y$10*$AD$10&gt;=$K$1,0,IF($Y$10*$AD$10&gt;=$J$1,0,0)),0))*$B12*$D12*$E12^(AH$2-1),1),0)</f>
        <v>0</v>
      </c>
      <c r="AI12" s="48">
        <f>IF(CEILING($B12*$D12/3,1)&gt;=AI$2,CEILING($F$1*IF($Y$10*$AD$10&gt;=$I$1,1,IF($Y$10*$AD$10&gt;=$H$1,0.5,0))*(1+IF($N$10=$D$1,IF($Y$10*$AD$10&gt;=$K$1,0,IF($Y$10*$AD$10&gt;=$J$1,0,0)),0))*$B12*$D12*$E12^(AI$2-1),1),0)</f>
        <v>0</v>
      </c>
    </row>
    <row r="13" spans="1:35" x14ac:dyDescent="0.25">
      <c r="A13" s="58">
        <v>3</v>
      </c>
      <c r="B13" s="60">
        <v>0.85</v>
      </c>
      <c r="C13" s="16">
        <v>0</v>
      </c>
      <c r="D13" s="67">
        <f>CEILING(1+MIN(T$10-C13-1,$L$1)+(T$10-C13-1-MIN(T$10-C13-1,$L$1))/$M$1,1)</f>
        <v>10</v>
      </c>
      <c r="E13" s="63">
        <f>MAX(($G$1/($F$1*D13))^(1/(ROUNDUP(D13/3,)-1)),2/3)</f>
        <v>0.66666666666666663</v>
      </c>
      <c r="F13" s="47">
        <f>IF(CEILING($B13*$D13/3,1)&gt;=F$2,CEILING($F$1*IF($Y$10*$AD$10&gt;=$I$1,1,IF($Y$10*$AD$10&gt;=$H$1,0.5,0))*(1+IF($N$10=$D$1,IF($Y$10*$AD$10&gt;=$K$1,0,IF($Y$10*$AD$10&gt;=$J$1,0,0)),0))*$B13*$D13*$E13^(F$2-1),1),0)</f>
        <v>17</v>
      </c>
      <c r="G13" s="47">
        <f>IF(CEILING($B13*$D13/3,1)&gt;=G$2,CEILING($F$1*IF($Y$10*$AD$10&gt;=$I$1,1,IF($Y$10*$AD$10&gt;=$H$1,0.5,0))*(1+IF($N$10=$D$1,IF($Y$10*$AD$10&gt;=$K$1,0,IF($Y$10*$AD$10&gt;=$J$1,0,0)),0))*$B13*$D13*$E13^(G$2-1),1),0)</f>
        <v>12</v>
      </c>
      <c r="H13" s="47">
        <f>IF(CEILING($B13*$D13/3,1)&gt;=H$2,CEILING($F$1*IF($Y$10*$AD$10&gt;=$I$1,1,IF($Y$10*$AD$10&gt;=$H$1,0.5,0))*(1+IF($N$10=$D$1,IF($Y$10*$AD$10&gt;=$K$1,0,IF($Y$10*$AD$10&gt;=$J$1,0,0)),0))*$B13*$D13*$E13^(H$2-1),1),0)</f>
        <v>8</v>
      </c>
      <c r="I13" s="47">
        <f>IF(CEILING($B13*$D13/3,1)&gt;=I$2,CEILING($F$1*IF($Y$10*$AD$10&gt;=$I$1,1,IF($Y$10*$AD$10&gt;=$H$1,0.5,0))*(1+IF($N$10=$D$1,IF($Y$10*$AD$10&gt;=$K$1,0,IF($Y$10*$AD$10&gt;=$J$1,0,0)),0))*$B13*$D13*$E13^(I$2-1),1),0)</f>
        <v>0</v>
      </c>
      <c r="J13" s="47">
        <f>IF(CEILING($B13*$D13/3,1)&gt;=J$2,CEILING($F$1*IF($Y$10*$AD$10&gt;=$I$1,1,IF($Y$10*$AD$10&gt;=$H$1,0.5,0))*(1+IF($N$10=$D$1,IF($Y$10*$AD$10&gt;=$K$1,0,IF($Y$10*$AD$10&gt;=$J$1,0,0)),0))*$B13*$D13*$E13^(J$2-1),1),0)</f>
        <v>0</v>
      </c>
      <c r="K13" s="47">
        <f>IF(CEILING($B13*$D13/3,1)&gt;=K$2,CEILING($F$1*IF($Y$10*$AD$10&gt;=$I$1,1,IF($Y$10*$AD$10&gt;=$H$1,0.5,0))*(1+IF($N$10=$D$1,IF($Y$10*$AD$10&gt;=$K$1,0,IF($Y$10*$AD$10&gt;=$J$1,0,0)),0))*$B13*$D13*$E13^(K$2-1),1),0)</f>
        <v>0</v>
      </c>
      <c r="L13" s="47">
        <f>IF(CEILING($B13*$D13/3,1)&gt;=L$2,CEILING($F$1*IF($Y$10*$AD$10&gt;=$I$1,1,IF($Y$10*$AD$10&gt;=$H$1,0.5,0))*(1+IF($N$10=$D$1,IF($Y$10*$AD$10&gt;=$K$1,0,IF($Y$10*$AD$10&gt;=$J$1,0,0)),0))*$B13*$D13*$E13^(L$2-1),1),0)</f>
        <v>0</v>
      </c>
      <c r="M13" s="47">
        <f>IF(CEILING($B13*$D13/3,1)&gt;=M$2,CEILING($F$1*IF($Y$10*$AD$10&gt;=$I$1,1,IF($Y$10*$AD$10&gt;=$H$1,0.5,0))*(1+IF($N$10=$D$1,IF($Y$10*$AD$10&gt;=$K$1,0,IF($Y$10*$AD$10&gt;=$J$1,0,0)),0))*$B13*$D13*$E13^(M$2-1),1),0)</f>
        <v>0</v>
      </c>
      <c r="N13" s="47">
        <f>IF(CEILING($B13*$D13/3,1)&gt;=N$2,CEILING($F$1*IF($Y$10*$AD$10&gt;=$I$1,1,IF($Y$10*$AD$10&gt;=$H$1,0.5,0))*(1+IF($N$10=$D$1,IF($Y$10*$AD$10&gt;=$K$1,0,IF($Y$10*$AD$10&gt;=$J$1,0,0)),0))*$B13*$D13*$E13^(N$2-1),1),0)</f>
        <v>0</v>
      </c>
      <c r="O13" s="47">
        <f>IF(CEILING($B13*$D13/3,1)&gt;=O$2,CEILING($F$1*IF($Y$10*$AD$10&gt;=$I$1,1,IF($Y$10*$AD$10&gt;=$H$1,0.5,0))*(1+IF($N$10=$D$1,IF($Y$10*$AD$10&gt;=$K$1,0,IF($Y$10*$AD$10&gt;=$J$1,0,0)),0))*$B13*$D13*$E13^(O$2-1),1),0)</f>
        <v>0</v>
      </c>
      <c r="P13" s="47">
        <f>IF(CEILING($B13*$D13/3,1)&gt;=P$2,CEILING($F$1*IF($Y$10*$AD$10&gt;=$I$1,1,IF($Y$10*$AD$10&gt;=$H$1,0.5,0))*(1+IF($N$10=$D$1,IF($Y$10*$AD$10&gt;=$K$1,0,IF($Y$10*$AD$10&gt;=$J$1,0,0)),0))*$B13*$D13*$E13^(P$2-1),1),0)</f>
        <v>0</v>
      </c>
      <c r="Q13" s="47">
        <f>IF(CEILING($B13*$D13/3,1)&gt;=Q$2,CEILING($F$1*IF($Y$10*$AD$10&gt;=$I$1,1,IF($Y$10*$AD$10&gt;=$H$1,0.5,0))*(1+IF($N$10=$D$1,IF($Y$10*$AD$10&gt;=$K$1,0,IF($Y$10*$AD$10&gt;=$J$1,0,0)),0))*$B13*$D13*$E13^(Q$2-1),1),0)</f>
        <v>0</v>
      </c>
      <c r="R13" s="47">
        <f>IF(CEILING($B13*$D13/3,1)&gt;=R$2,CEILING($F$1*IF($Y$10*$AD$10&gt;=$I$1,1,IF($Y$10*$AD$10&gt;=$H$1,0.5,0))*(1+IF($N$10=$D$1,IF($Y$10*$AD$10&gt;=$K$1,0,IF($Y$10*$AD$10&gt;=$J$1,0,0)),0))*$B13*$D13*$E13^(R$2-1),1),0)</f>
        <v>0</v>
      </c>
      <c r="S13" s="47">
        <f>IF(CEILING($B13*$D13/3,1)&gt;=S$2,CEILING($F$1*IF($Y$10*$AD$10&gt;=$I$1,1,IF($Y$10*$AD$10&gt;=$H$1,0.5,0))*(1+IF($N$10=$D$1,IF($Y$10*$AD$10&gt;=$K$1,0,IF($Y$10*$AD$10&gt;=$J$1,0,0)),0))*$B13*$D13*$E13^(S$2-1),1),0)</f>
        <v>0</v>
      </c>
      <c r="T13" s="47">
        <f>IF(CEILING($B13*$D13/3,1)&gt;=T$2,CEILING($F$1*IF($Y$10*$AD$10&gt;=$I$1,1,IF($Y$10*$AD$10&gt;=$H$1,0.5,0))*(1+IF($N$10=$D$1,IF($Y$10*$AD$10&gt;=$K$1,0,IF($Y$10*$AD$10&gt;=$J$1,0,0)),0))*$B13*$D13*$E13^(T$2-1),1),0)</f>
        <v>0</v>
      </c>
      <c r="U13" s="47">
        <f>IF(CEILING($B13*$D13/3,1)&gt;=U$2,CEILING($F$1*IF($Y$10*$AD$10&gt;=$I$1,1,IF($Y$10*$AD$10&gt;=$H$1,0.5,0))*(1+IF($N$10=$D$1,IF($Y$10*$AD$10&gt;=$K$1,0,IF($Y$10*$AD$10&gt;=$J$1,0,0)),0))*$B13*$D13*$E13^(U$2-1),1),0)</f>
        <v>0</v>
      </c>
      <c r="V13" s="47">
        <f>IF(CEILING($B13*$D13/3,1)&gt;=V$2,CEILING($F$1*IF($Y$10*$AD$10&gt;=$I$1,1,IF($Y$10*$AD$10&gt;=$H$1,0.5,0))*(1+IF($N$10=$D$1,IF($Y$10*$AD$10&gt;=$K$1,0,IF($Y$10*$AD$10&gt;=$J$1,0,0)),0))*$B13*$D13*$E13^(V$2-1),1),0)</f>
        <v>0</v>
      </c>
      <c r="W13" s="47">
        <f>IF(CEILING($B13*$D13/3,1)&gt;=W$2,CEILING($F$1*IF($Y$10*$AD$10&gt;=$I$1,1,IF($Y$10*$AD$10&gt;=$H$1,0.5,0))*(1+IF($N$10=$D$1,IF($Y$10*$AD$10&gt;=$K$1,0,IF($Y$10*$AD$10&gt;=$J$1,0,0)),0))*$B13*$D13*$E13^(W$2-1),1),0)</f>
        <v>0</v>
      </c>
      <c r="X13" s="47">
        <f>IF(CEILING($B13*$D13/3,1)&gt;=X$2,CEILING($F$1*IF($Y$10*$AD$10&gt;=$I$1,1,IF($Y$10*$AD$10&gt;=$H$1,0.5,0))*(1+IF($N$10=$D$1,IF($Y$10*$AD$10&gt;=$K$1,0,IF($Y$10*$AD$10&gt;=$J$1,0,0)),0))*$B13*$D13*$E13^(X$2-1),1),0)</f>
        <v>0</v>
      </c>
      <c r="Y13" s="47">
        <f>IF(CEILING($B13*$D13/3,1)&gt;=Y$2,CEILING($F$1*IF($Y$10*$AD$10&gt;=$I$1,1,IF($Y$10*$AD$10&gt;=$H$1,0.5,0))*(1+IF($N$10=$D$1,IF($Y$10*$AD$10&gt;=$K$1,0,IF($Y$10*$AD$10&gt;=$J$1,0,0)),0))*$B13*$D13*$E13^(Y$2-1),1),0)</f>
        <v>0</v>
      </c>
      <c r="Z13" s="47">
        <f>IF(CEILING($B13*$D13/3,1)&gt;=Z$2,CEILING($F$1*IF($Y$10*$AD$10&gt;=$I$1,1,IF($Y$10*$AD$10&gt;=$H$1,0.5,0))*(1+IF($N$10=$D$1,IF($Y$10*$AD$10&gt;=$K$1,0,IF($Y$10*$AD$10&gt;=$J$1,0,0)),0))*$B13*$D13*$E13^(Z$2-1),1),0)</f>
        <v>0</v>
      </c>
      <c r="AA13" s="47">
        <f>IF(CEILING($B13*$D13/3,1)&gt;=AA$2,CEILING($F$1*IF($Y$10*$AD$10&gt;=$I$1,1,IF($Y$10*$AD$10&gt;=$H$1,0.5,0))*(1+IF($N$10=$D$1,IF($Y$10*$AD$10&gt;=$K$1,0,IF($Y$10*$AD$10&gt;=$J$1,0,0)),0))*$B13*$D13*$E13^(AA$2-1),1),0)</f>
        <v>0</v>
      </c>
      <c r="AB13" s="47">
        <f>IF(CEILING($B13*$D13/3,1)&gt;=AB$2,CEILING($F$1*IF($Y$10*$AD$10&gt;=$I$1,1,IF($Y$10*$AD$10&gt;=$H$1,0.5,0))*(1+IF($N$10=$D$1,IF($Y$10*$AD$10&gt;=$K$1,0,IF($Y$10*$AD$10&gt;=$J$1,0,0)),0))*$B13*$D13*$E13^(AB$2-1),1),0)</f>
        <v>0</v>
      </c>
      <c r="AC13" s="47">
        <f>IF(CEILING($B13*$D13/3,1)&gt;=AC$2,CEILING($F$1*IF($Y$10*$AD$10&gt;=$I$1,1,IF($Y$10*$AD$10&gt;=$H$1,0.5,0))*(1+IF($N$10=$D$1,IF($Y$10*$AD$10&gt;=$K$1,0,IF($Y$10*$AD$10&gt;=$J$1,0,0)),0))*$B13*$D13*$E13^(AC$2-1),1),0)</f>
        <v>0</v>
      </c>
      <c r="AD13" s="47">
        <f>IF(CEILING($B13*$D13/3,1)&gt;=AD$2,CEILING($F$1*IF($Y$10*$AD$10&gt;=$I$1,1,IF($Y$10*$AD$10&gt;=$H$1,0.5,0))*(1+IF($N$10=$D$1,IF($Y$10*$AD$10&gt;=$K$1,0,IF($Y$10*$AD$10&gt;=$J$1,0,0)),0))*$B13*$D13*$E13^(AD$2-1),1),0)</f>
        <v>0</v>
      </c>
      <c r="AE13" s="47">
        <f>IF(CEILING($B13*$D13/3,1)&gt;=AE$2,CEILING($F$1*IF($Y$10*$AD$10&gt;=$I$1,1,IF($Y$10*$AD$10&gt;=$H$1,0.5,0))*(1+IF($N$10=$D$1,IF($Y$10*$AD$10&gt;=$K$1,0,IF($Y$10*$AD$10&gt;=$J$1,0,0)),0))*$B13*$D13*$E13^(AE$2-1),1),0)</f>
        <v>0</v>
      </c>
      <c r="AF13" s="47">
        <f>IF(CEILING($B13*$D13/3,1)&gt;=AF$2,CEILING($F$1*IF($Y$10*$AD$10&gt;=$I$1,1,IF($Y$10*$AD$10&gt;=$H$1,0.5,0))*(1+IF($N$10=$D$1,IF($Y$10*$AD$10&gt;=$K$1,0,IF($Y$10*$AD$10&gt;=$J$1,0,0)),0))*$B13*$D13*$E13^(AF$2-1),1),0)</f>
        <v>0</v>
      </c>
      <c r="AG13" s="47">
        <f>IF(CEILING($B13*$D13/3,1)&gt;=AG$2,CEILING($F$1*IF($Y$10*$AD$10&gt;=$I$1,1,IF($Y$10*$AD$10&gt;=$H$1,0.5,0))*(1+IF($N$10=$D$1,IF($Y$10*$AD$10&gt;=$K$1,0,IF($Y$10*$AD$10&gt;=$J$1,0,0)),0))*$B13*$D13*$E13^(AG$2-1),1),0)</f>
        <v>0</v>
      </c>
      <c r="AH13" s="47">
        <f>IF(CEILING($B13*$D13/3,1)&gt;=AH$2,CEILING($F$1*IF($Y$10*$AD$10&gt;=$I$1,1,IF($Y$10*$AD$10&gt;=$H$1,0.5,0))*(1+IF($N$10=$D$1,IF($Y$10*$AD$10&gt;=$K$1,0,IF($Y$10*$AD$10&gt;=$J$1,0,0)),0))*$B13*$D13*$E13^(AH$2-1),1),0)</f>
        <v>0</v>
      </c>
      <c r="AI13" s="48">
        <f>IF(CEILING($B13*$D13/3,1)&gt;=AI$2,CEILING($F$1*IF($Y$10*$AD$10&gt;=$I$1,1,IF($Y$10*$AD$10&gt;=$H$1,0.5,0))*(1+IF($N$10=$D$1,IF($Y$10*$AD$10&gt;=$K$1,0,IF($Y$10*$AD$10&gt;=$J$1,0,0)),0))*$B13*$D13*$E13^(AI$2-1),1),0)</f>
        <v>0</v>
      </c>
    </row>
    <row r="14" spans="1:35" ht="15" customHeight="1" x14ac:dyDescent="0.25">
      <c r="A14" s="58"/>
      <c r="B14" s="60"/>
      <c r="C14" s="6"/>
      <c r="D14" s="68"/>
      <c r="E14" s="64"/>
      <c r="F14" s="49"/>
      <c r="G14" s="49"/>
      <c r="H14" s="49"/>
      <c r="I14" s="49"/>
      <c r="J14" s="50"/>
      <c r="K14" s="50"/>
      <c r="L14" s="50"/>
      <c r="M14" s="50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1"/>
    </row>
    <row r="15" spans="1:35" x14ac:dyDescent="0.25">
      <c r="A15" s="58"/>
      <c r="B15" s="60"/>
      <c r="C15" s="6"/>
      <c r="D15" s="68"/>
      <c r="E15" s="64"/>
      <c r="F15" s="117" t="s">
        <v>11</v>
      </c>
      <c r="G15" s="117"/>
      <c r="H15" s="117"/>
      <c r="I15" s="36">
        <v>4</v>
      </c>
      <c r="J15" s="113" t="s">
        <v>3</v>
      </c>
      <c r="K15" s="113"/>
      <c r="L15" s="113"/>
      <c r="M15" s="113"/>
      <c r="N15" s="118" t="s">
        <v>27</v>
      </c>
      <c r="O15" s="118"/>
      <c r="P15" s="115" t="s">
        <v>1</v>
      </c>
      <c r="Q15" s="115"/>
      <c r="R15" s="115"/>
      <c r="S15" s="115"/>
      <c r="T15" s="15">
        <v>10</v>
      </c>
      <c r="U15" s="116" t="s">
        <v>2</v>
      </c>
      <c r="V15" s="116"/>
      <c r="W15" s="116"/>
      <c r="X15" s="116"/>
      <c r="Y15" s="15">
        <v>9</v>
      </c>
      <c r="Z15" s="116" t="s">
        <v>4</v>
      </c>
      <c r="AA15" s="116"/>
      <c r="AB15" s="116"/>
      <c r="AC15" s="116"/>
      <c r="AD15" s="15">
        <v>3</v>
      </c>
      <c r="AE15" s="26"/>
      <c r="AF15" s="26"/>
      <c r="AG15" s="26"/>
      <c r="AH15" s="26"/>
      <c r="AI15" s="27"/>
    </row>
    <row r="16" spans="1:35" x14ac:dyDescent="0.25">
      <c r="A16" s="58">
        <v>1</v>
      </c>
      <c r="B16" s="60">
        <v>1.1499999999999999</v>
      </c>
      <c r="C16" s="16">
        <v>0</v>
      </c>
      <c r="D16" s="67">
        <f>CEILING(1+MIN(T$15-C16-1,$L$1)+(T$15-C16-1-MIN(T$15-C16-1,$L$1))/$M$1,1)</f>
        <v>10</v>
      </c>
      <c r="E16" s="63">
        <f>MAX(($G$1/($F$1*D16))^(1/(ROUNDUP(D16/3,)-1)),2/3)</f>
        <v>0.66666666666666663</v>
      </c>
      <c r="F16" s="47">
        <f>IF(CEILING($B16*$D16/3,1)&gt;=F$2,CEILING($F$1*IF($Y$15*$AD$15&gt;=$I$1,1,IF($Y$15*$AD$15&gt;=$H$1,0.5,0))*(1+IF($N$15=$D$1,IF($Y$15*$AD$15&gt;=$K$1,0,IF($Y$15*$AD$15&gt;=$J$1,0,0)),0))*$B16*$D16*$E16^(F$2-1),1),0)</f>
        <v>23</v>
      </c>
      <c r="G16" s="47">
        <f>IF(CEILING($B16*$D16/3,1)&gt;=G$2,CEILING($F$1*IF($Y$15*$AD$15&gt;=$I$1,1,IF($Y$15*$AD$15&gt;=$H$1,0.5,0))*(1+IF($N$15=$D$1,IF($Y$15*$AD$15&gt;=$K$1,0,IF($Y$15*$AD$15&gt;=$J$1,0,0)),0))*$B16*$D16*$E16^(G$2-1),1),0)</f>
        <v>16</v>
      </c>
      <c r="H16" s="47">
        <f>IF(CEILING($B16*$D16/3,1)&gt;=H$2,CEILING($F$1*IF($Y$15*$AD$15&gt;=$I$1,1,IF($Y$15*$AD$15&gt;=$H$1,0.5,0))*(1+IF($N$15=$D$1,IF($Y$15*$AD$15&gt;=$K$1,0,IF($Y$15*$AD$15&gt;=$J$1,0,0)),0))*$B16*$D16*$E16^(H$2-1),1),0)</f>
        <v>11</v>
      </c>
      <c r="I16" s="47">
        <f>IF(CEILING($B16*$D16/3,1)&gt;=I$2,CEILING($F$1*IF($Y$15*$AD$15&gt;=$I$1,1,IF($Y$15*$AD$15&gt;=$H$1,0.5,0))*(1+IF($N$15=$D$1,IF($Y$15*$AD$15&gt;=$K$1,0,IF($Y$15*$AD$15&gt;=$J$1,0,0)),0))*$B16*$D16*$E16^(I$2-1),1),0)</f>
        <v>7</v>
      </c>
      <c r="J16" s="47">
        <f>IF(CEILING($B16*$D16/3,1)&gt;=J$2,CEILING($F$1*IF($Y$15*$AD$15&gt;=$I$1,1,IF($Y$15*$AD$15&gt;=$H$1,0.5,0))*(1+IF($N$15=$D$1,IF($Y$15*$AD$15&gt;=$K$1,0,IF($Y$15*$AD$15&gt;=$J$1,0,0)),0))*$B16*$D16*$E16^(J$2-1),1),0)</f>
        <v>0</v>
      </c>
      <c r="K16" s="47">
        <f>IF(CEILING($B16*$D16/3,1)&gt;=K$2,CEILING($F$1*IF($Y$15*$AD$15&gt;=$I$1,1,IF($Y$15*$AD$15&gt;=$H$1,0.5,0))*(1+IF($N$15=$D$1,IF($Y$15*$AD$15&gt;=$K$1,0,IF($Y$15*$AD$15&gt;=$J$1,0,0)),0))*$B16*$D16*$E16^(K$2-1),1),0)</f>
        <v>0</v>
      </c>
      <c r="L16" s="47">
        <f>IF(CEILING($B16*$D16/3,1)&gt;=L$2,CEILING($F$1*IF($Y$15*$AD$15&gt;=$I$1,1,IF($Y$15*$AD$15&gt;=$H$1,0.5,0))*(1+IF($N$15=$D$1,IF($Y$15*$AD$15&gt;=$K$1,0,IF($Y$15*$AD$15&gt;=$J$1,0,0)),0))*$B16*$D16*$E16^(L$2-1),1),0)</f>
        <v>0</v>
      </c>
      <c r="M16" s="47">
        <f>IF(CEILING($B16*$D16/3,1)&gt;=M$2,CEILING($F$1*IF($Y$15*$AD$15&gt;=$I$1,1,IF($Y$15*$AD$15&gt;=$H$1,0.5,0))*(1+IF($N$15=$D$1,IF($Y$15*$AD$15&gt;=$K$1,0,IF($Y$15*$AD$15&gt;=$J$1,0,0)),0))*$B16*$D16*$E16^(M$2-1),1),0)</f>
        <v>0</v>
      </c>
      <c r="N16" s="47">
        <f>IF(CEILING($B16*$D16/3,1)&gt;=N$2,CEILING($F$1*IF($Y$15*$AD$15&gt;=$I$1,1,IF($Y$15*$AD$15&gt;=$H$1,0.5,0))*(1+IF($N$15=$D$1,IF($Y$15*$AD$15&gt;=$K$1,0,IF($Y$15*$AD$15&gt;=$J$1,0,0)),0))*$B16*$D16*$E16^(N$2-1),1),0)</f>
        <v>0</v>
      </c>
      <c r="O16" s="47">
        <f>IF(CEILING($B16*$D16/3,1)&gt;=O$2,CEILING($F$1*IF($Y$15*$AD$15&gt;=$I$1,1,IF($Y$15*$AD$15&gt;=$H$1,0.5,0))*(1+IF($N$15=$D$1,IF($Y$15*$AD$15&gt;=$K$1,0,IF($Y$15*$AD$15&gt;=$J$1,0,0)),0))*$B16*$D16*$E16^(O$2-1),1),0)</f>
        <v>0</v>
      </c>
      <c r="P16" s="47">
        <f>IF(CEILING($B16*$D16/3,1)&gt;=P$2,CEILING($F$1*IF($Y$15*$AD$15&gt;=$I$1,1,IF($Y$15*$AD$15&gt;=$H$1,0.5,0))*(1+IF($N$15=$D$1,IF($Y$15*$AD$15&gt;=$K$1,0,IF($Y$15*$AD$15&gt;=$J$1,0,0)),0))*$B16*$D16*$E16^(P$2-1),1),0)</f>
        <v>0</v>
      </c>
      <c r="Q16" s="47">
        <f>IF(CEILING($B16*$D16/3,1)&gt;=Q$2,CEILING($F$1*IF($Y$15*$AD$15&gt;=$I$1,1,IF($Y$15*$AD$15&gt;=$H$1,0.5,0))*(1+IF($N$15=$D$1,IF($Y$15*$AD$15&gt;=$K$1,0,IF($Y$15*$AD$15&gt;=$J$1,0,0)),0))*$B16*$D16*$E16^(Q$2-1),1),0)</f>
        <v>0</v>
      </c>
      <c r="R16" s="47">
        <f>IF(CEILING($B16*$D16/3,1)&gt;=R$2,CEILING($F$1*IF($Y$15*$AD$15&gt;=$I$1,1,IF($Y$15*$AD$15&gt;=$H$1,0.5,0))*(1+IF($N$15=$D$1,IF($Y$15*$AD$15&gt;=$K$1,0,IF($Y$15*$AD$15&gt;=$J$1,0,0)),0))*$B16*$D16*$E16^(R$2-1),1),0)</f>
        <v>0</v>
      </c>
      <c r="S16" s="47">
        <f>IF(CEILING($B16*$D16/3,1)&gt;=S$2,CEILING($F$1*IF($Y$15*$AD$15&gt;=$I$1,1,IF($Y$15*$AD$15&gt;=$H$1,0.5,0))*(1+IF($N$15=$D$1,IF($Y$15*$AD$15&gt;=$K$1,0,IF($Y$15*$AD$15&gt;=$J$1,0,0)),0))*$B16*$D16*$E16^(S$2-1),1),0)</f>
        <v>0</v>
      </c>
      <c r="T16" s="47">
        <f>IF(CEILING($B16*$D16/3,1)&gt;=T$2,CEILING($F$1*IF($Y$15*$AD$15&gt;=$I$1,1,IF($Y$15*$AD$15&gt;=$H$1,0.5,0))*(1+IF($N$15=$D$1,IF($Y$15*$AD$15&gt;=$K$1,0,IF($Y$15*$AD$15&gt;=$J$1,0,0)),0))*$B16*$D16*$E16^(T$2-1),1),0)</f>
        <v>0</v>
      </c>
      <c r="U16" s="47">
        <f>IF(CEILING($B16*$D16/3,1)&gt;=U$2,CEILING($F$1*IF($Y$15*$AD$15&gt;=$I$1,1,IF($Y$15*$AD$15&gt;=$H$1,0.5,0))*(1+IF($N$15=$D$1,IF($Y$15*$AD$15&gt;=$K$1,0,IF($Y$15*$AD$15&gt;=$J$1,0,0)),0))*$B16*$D16*$E16^(U$2-1),1),0)</f>
        <v>0</v>
      </c>
      <c r="V16" s="47">
        <f>IF(CEILING($B16*$D16/3,1)&gt;=V$2,CEILING($F$1*IF($Y$15*$AD$15&gt;=$I$1,1,IF($Y$15*$AD$15&gt;=$H$1,0.5,0))*(1+IF($N$15=$D$1,IF($Y$15*$AD$15&gt;=$K$1,0,IF($Y$15*$AD$15&gt;=$J$1,0,0)),0))*$B16*$D16*$E16^(V$2-1),1),0)</f>
        <v>0</v>
      </c>
      <c r="W16" s="47">
        <f>IF(CEILING($B16*$D16/3,1)&gt;=W$2,CEILING($F$1*IF($Y$15*$AD$15&gt;=$I$1,1,IF($Y$15*$AD$15&gt;=$H$1,0.5,0))*(1+IF($N$15=$D$1,IF($Y$15*$AD$15&gt;=$K$1,0,IF($Y$15*$AD$15&gt;=$J$1,0,0)),0))*$B16*$D16*$E16^(W$2-1),1),0)</f>
        <v>0</v>
      </c>
      <c r="X16" s="47">
        <f>IF(CEILING($B16*$D16/3,1)&gt;=X$2,CEILING($F$1*IF($Y$15*$AD$15&gt;=$I$1,1,IF($Y$15*$AD$15&gt;=$H$1,0.5,0))*(1+IF($N$15=$D$1,IF($Y$15*$AD$15&gt;=$K$1,0,IF($Y$15*$AD$15&gt;=$J$1,0,0)),0))*$B16*$D16*$E16^(X$2-1),1),0)</f>
        <v>0</v>
      </c>
      <c r="Y16" s="47">
        <f>IF(CEILING($B16*$D16/3,1)&gt;=Y$2,CEILING($F$1*IF($Y$15*$AD$15&gt;=$I$1,1,IF($Y$15*$AD$15&gt;=$H$1,0.5,0))*(1+IF($N$15=$D$1,IF($Y$15*$AD$15&gt;=$K$1,0,IF($Y$15*$AD$15&gt;=$J$1,0,0)),0))*$B16*$D16*$E16^(Y$2-1),1),0)</f>
        <v>0</v>
      </c>
      <c r="Z16" s="47">
        <f>IF(CEILING($B16*$D16/3,1)&gt;=Z$2,CEILING($F$1*IF($Y$15*$AD$15&gt;=$I$1,1,IF($Y$15*$AD$15&gt;=$H$1,0.5,0))*(1+IF($N$15=$D$1,IF($Y$15*$AD$15&gt;=$K$1,0,IF($Y$15*$AD$15&gt;=$J$1,0,0)),0))*$B16*$D16*$E16^(Z$2-1),1),0)</f>
        <v>0</v>
      </c>
      <c r="AA16" s="47">
        <f>IF(CEILING($B16*$D16/3,1)&gt;=AA$2,CEILING($F$1*IF($Y$15*$AD$15&gt;=$I$1,1,IF($Y$15*$AD$15&gt;=$H$1,0.5,0))*(1+IF($N$15=$D$1,IF($Y$15*$AD$15&gt;=$K$1,0,IF($Y$15*$AD$15&gt;=$J$1,0,0)),0))*$B16*$D16*$E16^(AA$2-1),1),0)</f>
        <v>0</v>
      </c>
      <c r="AB16" s="47">
        <f>IF(CEILING($B16*$D16/3,1)&gt;=AB$2,CEILING($F$1*IF($Y$15*$AD$15&gt;=$I$1,1,IF($Y$15*$AD$15&gt;=$H$1,0.5,0))*(1+IF($N$15=$D$1,IF($Y$15*$AD$15&gt;=$K$1,0,IF($Y$15*$AD$15&gt;=$J$1,0,0)),0))*$B16*$D16*$E16^(AB$2-1),1),0)</f>
        <v>0</v>
      </c>
      <c r="AC16" s="47">
        <f>IF(CEILING($B16*$D16/3,1)&gt;=AC$2,CEILING($F$1*IF($Y$15*$AD$15&gt;=$I$1,1,IF($Y$15*$AD$15&gt;=$H$1,0.5,0))*(1+IF($N$15=$D$1,IF($Y$15*$AD$15&gt;=$K$1,0,IF($Y$15*$AD$15&gt;=$J$1,0,0)),0))*$B16*$D16*$E16^(AC$2-1),1),0)</f>
        <v>0</v>
      </c>
      <c r="AD16" s="47">
        <f>IF(CEILING($B16*$D16/3,1)&gt;=AD$2,CEILING($F$1*IF($Y$15*$AD$15&gt;=$I$1,1,IF($Y$15*$AD$15&gt;=$H$1,0.5,0))*(1+IF($N$15=$D$1,IF($Y$15*$AD$15&gt;=$K$1,0,IF($Y$15*$AD$15&gt;=$J$1,0,0)),0))*$B16*$D16*$E16^(AD$2-1),1),0)</f>
        <v>0</v>
      </c>
      <c r="AE16" s="47">
        <f>IF(CEILING($B16*$D16/3,1)&gt;=AE$2,CEILING($F$1*IF($Y$15*$AD$15&gt;=$I$1,1,IF($Y$15*$AD$15&gt;=$H$1,0.5,0))*(1+IF($N$15=$D$1,IF($Y$15*$AD$15&gt;=$K$1,0,IF($Y$15*$AD$15&gt;=$J$1,0,0)),0))*$B16*$D16*$E16^(AE$2-1),1),0)</f>
        <v>0</v>
      </c>
      <c r="AF16" s="47">
        <f>IF(CEILING($B16*$D16/3,1)&gt;=AF$2,CEILING($F$1*IF($Y$15*$AD$15&gt;=$I$1,1,IF($Y$15*$AD$15&gt;=$H$1,0.5,0))*(1+IF($N$15=$D$1,IF($Y$15*$AD$15&gt;=$K$1,0,IF($Y$15*$AD$15&gt;=$J$1,0,0)),0))*$B16*$D16*$E16^(AF$2-1),1),0)</f>
        <v>0</v>
      </c>
      <c r="AG16" s="47">
        <f>IF(CEILING($B16*$D16/3,1)&gt;=AG$2,CEILING($F$1*IF($Y$15*$AD$15&gt;=$I$1,1,IF($Y$15*$AD$15&gt;=$H$1,0.5,0))*(1+IF($N$15=$D$1,IF($Y$15*$AD$15&gt;=$K$1,0,IF($Y$15*$AD$15&gt;=$J$1,0,0)),0))*$B16*$D16*$E16^(AG$2-1),1),0)</f>
        <v>0</v>
      </c>
      <c r="AH16" s="47">
        <f>IF(CEILING($B16*$D16/3,1)&gt;=AH$2,CEILING($F$1*IF($Y$15*$AD$15&gt;=$I$1,1,IF($Y$15*$AD$15&gt;=$H$1,0.5,0))*(1+IF($N$15=$D$1,IF($Y$15*$AD$15&gt;=$K$1,0,IF($Y$15*$AD$15&gt;=$J$1,0,0)),0))*$B16*$D16*$E16^(AH$2-1),1),0)</f>
        <v>0</v>
      </c>
      <c r="AI16" s="48">
        <f>IF(CEILING($B16*$D16/3,1)&gt;=AI$2,CEILING($F$1*IF($Y$15*$AD$15&gt;=$I$1,1,IF($Y$15*$AD$15&gt;=$H$1,0.5,0))*(1+IF($N$15=$D$1,IF($Y$15*$AD$15&gt;=$K$1,0,IF($Y$15*$AD$15&gt;=$J$1,0,0)),0))*$B16*$D16*$E16^(AI$2-1),1),0)</f>
        <v>0</v>
      </c>
    </row>
    <row r="17" spans="1:35" x14ac:dyDescent="0.25">
      <c r="A17" s="58">
        <v>2</v>
      </c>
      <c r="B17" s="60">
        <v>1.05</v>
      </c>
      <c r="C17" s="16">
        <v>0</v>
      </c>
      <c r="D17" s="67">
        <f>CEILING(1+MIN(T$15-C17-1,$L$1)+(T$15-C17-1-MIN(T$15-C17-1,$L$1))/$M$1,1)</f>
        <v>10</v>
      </c>
      <c r="E17" s="63">
        <f>MAX(($G$1/($F$1*D17))^(1/(ROUNDUP(D17/3,)-1)),2/3)</f>
        <v>0.66666666666666663</v>
      </c>
      <c r="F17" s="47">
        <f>IF(CEILING($B17*$D17/3,1)&gt;=F$2,CEILING($F$1*IF($Y$15*$AD$15&gt;=$I$1,1,IF($Y$15*$AD$15&gt;=$H$1,0.5,0))*(1+IF($N$15=$D$1,IF($Y$15*$AD$15&gt;=$K$1,0,IF($Y$15*$AD$15&gt;=$J$1,0,0)),0))*$B17*$D17*$E17^(F$2-1),1),0)</f>
        <v>21</v>
      </c>
      <c r="G17" s="47">
        <f>IF(CEILING($B17*$D17/3,1)&gt;=G$2,CEILING($F$1*IF($Y$15*$AD$15&gt;=$I$1,1,IF($Y$15*$AD$15&gt;=$H$1,0.5,0))*(1+IF($N$15=$D$1,IF($Y$15*$AD$15&gt;=$K$1,0,IF($Y$15*$AD$15&gt;=$J$1,0,0)),0))*$B17*$D17*$E17^(G$2-1),1),0)</f>
        <v>14</v>
      </c>
      <c r="H17" s="47">
        <f>IF(CEILING($B17*$D17/3,1)&gt;=H$2,CEILING($F$1*IF($Y$15*$AD$15&gt;=$I$1,1,IF($Y$15*$AD$15&gt;=$H$1,0.5,0))*(1+IF($N$15=$D$1,IF($Y$15*$AD$15&gt;=$K$1,0,IF($Y$15*$AD$15&gt;=$J$1,0,0)),0))*$B17*$D17*$E17^(H$2-1),1),0)</f>
        <v>10</v>
      </c>
      <c r="I17" s="47">
        <f>IF(CEILING($B17*$D17/3,1)&gt;=I$2,CEILING($F$1*IF($Y$15*$AD$15&gt;=$I$1,1,IF($Y$15*$AD$15&gt;=$H$1,0.5,0))*(1+IF($N$15=$D$1,IF($Y$15*$AD$15&gt;=$K$1,0,IF($Y$15*$AD$15&gt;=$J$1,0,0)),0))*$B17*$D17*$E17^(I$2-1),1),0)</f>
        <v>7</v>
      </c>
      <c r="J17" s="47">
        <f>IF(CEILING($B17*$D17/3,1)&gt;=J$2,CEILING($F$1*IF($Y$15*$AD$15&gt;=$I$1,1,IF($Y$15*$AD$15&gt;=$H$1,0.5,0))*(1+IF($N$15=$D$1,IF($Y$15*$AD$15&gt;=$K$1,0,IF($Y$15*$AD$15&gt;=$J$1,0,0)),0))*$B17*$D17*$E17^(J$2-1),1),0)</f>
        <v>0</v>
      </c>
      <c r="K17" s="47">
        <f>IF(CEILING($B17*$D17/3,1)&gt;=K$2,CEILING($F$1*IF($Y$15*$AD$15&gt;=$I$1,1,IF($Y$15*$AD$15&gt;=$H$1,0.5,0))*(1+IF($N$15=$D$1,IF($Y$15*$AD$15&gt;=$K$1,0,IF($Y$15*$AD$15&gt;=$J$1,0,0)),0))*$B17*$D17*$E17^(K$2-1),1),0)</f>
        <v>0</v>
      </c>
      <c r="L17" s="47">
        <f>IF(CEILING($B17*$D17/3,1)&gt;=L$2,CEILING($F$1*IF($Y$15*$AD$15&gt;=$I$1,1,IF($Y$15*$AD$15&gt;=$H$1,0.5,0))*(1+IF($N$15=$D$1,IF($Y$15*$AD$15&gt;=$K$1,0,IF($Y$15*$AD$15&gt;=$J$1,0,0)),0))*$B17*$D17*$E17^(L$2-1),1),0)</f>
        <v>0</v>
      </c>
      <c r="M17" s="47">
        <f>IF(CEILING($B17*$D17/3,1)&gt;=M$2,CEILING($F$1*IF($Y$15*$AD$15&gt;=$I$1,1,IF($Y$15*$AD$15&gt;=$H$1,0.5,0))*(1+IF($N$15=$D$1,IF($Y$15*$AD$15&gt;=$K$1,0,IF($Y$15*$AD$15&gt;=$J$1,0,0)),0))*$B17*$D17*$E17^(M$2-1),1),0)</f>
        <v>0</v>
      </c>
      <c r="N17" s="47">
        <f>IF(CEILING($B17*$D17/3,1)&gt;=N$2,CEILING($F$1*IF($Y$15*$AD$15&gt;=$I$1,1,IF($Y$15*$AD$15&gt;=$H$1,0.5,0))*(1+IF($N$15=$D$1,IF($Y$15*$AD$15&gt;=$K$1,0,IF($Y$15*$AD$15&gt;=$J$1,0,0)),0))*$B17*$D17*$E17^(N$2-1),1),0)</f>
        <v>0</v>
      </c>
      <c r="O17" s="47">
        <f>IF(CEILING($B17*$D17/3,1)&gt;=O$2,CEILING($F$1*IF($Y$15*$AD$15&gt;=$I$1,1,IF($Y$15*$AD$15&gt;=$H$1,0.5,0))*(1+IF($N$15=$D$1,IF($Y$15*$AD$15&gt;=$K$1,0,IF($Y$15*$AD$15&gt;=$J$1,0,0)),0))*$B17*$D17*$E17^(O$2-1),1),0)</f>
        <v>0</v>
      </c>
      <c r="P17" s="47">
        <f>IF(CEILING($B17*$D17/3,1)&gt;=P$2,CEILING($F$1*IF($Y$15*$AD$15&gt;=$I$1,1,IF($Y$15*$AD$15&gt;=$H$1,0.5,0))*(1+IF($N$15=$D$1,IF($Y$15*$AD$15&gt;=$K$1,0,IF($Y$15*$AD$15&gt;=$J$1,0,0)),0))*$B17*$D17*$E17^(P$2-1),1),0)</f>
        <v>0</v>
      </c>
      <c r="Q17" s="47">
        <f>IF(CEILING($B17*$D17/3,1)&gt;=Q$2,CEILING($F$1*IF($Y$15*$AD$15&gt;=$I$1,1,IF($Y$15*$AD$15&gt;=$H$1,0.5,0))*(1+IF($N$15=$D$1,IF($Y$15*$AD$15&gt;=$K$1,0,IF($Y$15*$AD$15&gt;=$J$1,0,0)),0))*$B17*$D17*$E17^(Q$2-1),1),0)</f>
        <v>0</v>
      </c>
      <c r="R17" s="47">
        <f>IF(CEILING($B17*$D17/3,1)&gt;=R$2,CEILING($F$1*IF($Y$15*$AD$15&gt;=$I$1,1,IF($Y$15*$AD$15&gt;=$H$1,0.5,0))*(1+IF($N$15=$D$1,IF($Y$15*$AD$15&gt;=$K$1,0,IF($Y$15*$AD$15&gt;=$J$1,0,0)),0))*$B17*$D17*$E17^(R$2-1),1),0)</f>
        <v>0</v>
      </c>
      <c r="S17" s="47">
        <f>IF(CEILING($B17*$D17/3,1)&gt;=S$2,CEILING($F$1*IF($Y$15*$AD$15&gt;=$I$1,1,IF($Y$15*$AD$15&gt;=$H$1,0.5,0))*(1+IF($N$15=$D$1,IF($Y$15*$AD$15&gt;=$K$1,0,IF($Y$15*$AD$15&gt;=$J$1,0,0)),0))*$B17*$D17*$E17^(S$2-1),1),0)</f>
        <v>0</v>
      </c>
      <c r="T17" s="47">
        <f>IF(CEILING($B17*$D17/3,1)&gt;=T$2,CEILING($F$1*IF($Y$15*$AD$15&gt;=$I$1,1,IF($Y$15*$AD$15&gt;=$H$1,0.5,0))*(1+IF($N$15=$D$1,IF($Y$15*$AD$15&gt;=$K$1,0,IF($Y$15*$AD$15&gt;=$J$1,0,0)),0))*$B17*$D17*$E17^(T$2-1),1),0)</f>
        <v>0</v>
      </c>
      <c r="U17" s="47">
        <f>IF(CEILING($B17*$D17/3,1)&gt;=U$2,CEILING($F$1*IF($Y$15*$AD$15&gt;=$I$1,1,IF($Y$15*$AD$15&gt;=$H$1,0.5,0))*(1+IF($N$15=$D$1,IF($Y$15*$AD$15&gt;=$K$1,0,IF($Y$15*$AD$15&gt;=$J$1,0,0)),0))*$B17*$D17*$E17^(U$2-1),1),0)</f>
        <v>0</v>
      </c>
      <c r="V17" s="47">
        <f>IF(CEILING($B17*$D17/3,1)&gt;=V$2,CEILING($F$1*IF($Y$15*$AD$15&gt;=$I$1,1,IF($Y$15*$AD$15&gt;=$H$1,0.5,0))*(1+IF($N$15=$D$1,IF($Y$15*$AD$15&gt;=$K$1,0,IF($Y$15*$AD$15&gt;=$J$1,0,0)),0))*$B17*$D17*$E17^(V$2-1),1),0)</f>
        <v>0</v>
      </c>
      <c r="W17" s="47">
        <f>IF(CEILING($B17*$D17/3,1)&gt;=W$2,CEILING($F$1*IF($Y$15*$AD$15&gt;=$I$1,1,IF($Y$15*$AD$15&gt;=$H$1,0.5,0))*(1+IF($N$15=$D$1,IF($Y$15*$AD$15&gt;=$K$1,0,IF($Y$15*$AD$15&gt;=$J$1,0,0)),0))*$B17*$D17*$E17^(W$2-1),1),0)</f>
        <v>0</v>
      </c>
      <c r="X17" s="47">
        <f>IF(CEILING($B17*$D17/3,1)&gt;=X$2,CEILING($F$1*IF($Y$15*$AD$15&gt;=$I$1,1,IF($Y$15*$AD$15&gt;=$H$1,0.5,0))*(1+IF($N$15=$D$1,IF($Y$15*$AD$15&gt;=$K$1,0,IF($Y$15*$AD$15&gt;=$J$1,0,0)),0))*$B17*$D17*$E17^(X$2-1),1),0)</f>
        <v>0</v>
      </c>
      <c r="Y17" s="47">
        <f>IF(CEILING($B17*$D17/3,1)&gt;=Y$2,CEILING($F$1*IF($Y$15*$AD$15&gt;=$I$1,1,IF($Y$15*$AD$15&gt;=$H$1,0.5,0))*(1+IF($N$15=$D$1,IF($Y$15*$AD$15&gt;=$K$1,0,IF($Y$15*$AD$15&gt;=$J$1,0,0)),0))*$B17*$D17*$E17^(Y$2-1),1),0)</f>
        <v>0</v>
      </c>
      <c r="Z17" s="47">
        <f>IF(CEILING($B17*$D17/3,1)&gt;=Z$2,CEILING($F$1*IF($Y$15*$AD$15&gt;=$I$1,1,IF($Y$15*$AD$15&gt;=$H$1,0.5,0))*(1+IF($N$15=$D$1,IF($Y$15*$AD$15&gt;=$K$1,0,IF($Y$15*$AD$15&gt;=$J$1,0,0)),0))*$B17*$D17*$E17^(Z$2-1),1),0)</f>
        <v>0</v>
      </c>
      <c r="AA17" s="47">
        <f>IF(CEILING($B17*$D17/3,1)&gt;=AA$2,CEILING($F$1*IF($Y$15*$AD$15&gt;=$I$1,1,IF($Y$15*$AD$15&gt;=$H$1,0.5,0))*(1+IF($N$15=$D$1,IF($Y$15*$AD$15&gt;=$K$1,0,IF($Y$15*$AD$15&gt;=$J$1,0,0)),0))*$B17*$D17*$E17^(AA$2-1),1),0)</f>
        <v>0</v>
      </c>
      <c r="AB17" s="47">
        <f>IF(CEILING($B17*$D17/3,1)&gt;=AB$2,CEILING($F$1*IF($Y$15*$AD$15&gt;=$I$1,1,IF($Y$15*$AD$15&gt;=$H$1,0.5,0))*(1+IF($N$15=$D$1,IF($Y$15*$AD$15&gt;=$K$1,0,IF($Y$15*$AD$15&gt;=$J$1,0,0)),0))*$B17*$D17*$E17^(AB$2-1),1),0)</f>
        <v>0</v>
      </c>
      <c r="AC17" s="47">
        <f>IF(CEILING($B17*$D17/3,1)&gt;=AC$2,CEILING($F$1*IF($Y$15*$AD$15&gt;=$I$1,1,IF($Y$15*$AD$15&gt;=$H$1,0.5,0))*(1+IF($N$15=$D$1,IF($Y$15*$AD$15&gt;=$K$1,0,IF($Y$15*$AD$15&gt;=$J$1,0,0)),0))*$B17*$D17*$E17^(AC$2-1),1),0)</f>
        <v>0</v>
      </c>
      <c r="AD17" s="47">
        <f>IF(CEILING($B17*$D17/3,1)&gt;=AD$2,CEILING($F$1*IF($Y$15*$AD$15&gt;=$I$1,1,IF($Y$15*$AD$15&gt;=$H$1,0.5,0))*(1+IF($N$15=$D$1,IF($Y$15*$AD$15&gt;=$K$1,0,IF($Y$15*$AD$15&gt;=$J$1,0,0)),0))*$B17*$D17*$E17^(AD$2-1),1),0)</f>
        <v>0</v>
      </c>
      <c r="AE17" s="47">
        <f>IF(CEILING($B17*$D17/3,1)&gt;=AE$2,CEILING($F$1*IF($Y$15*$AD$15&gt;=$I$1,1,IF($Y$15*$AD$15&gt;=$H$1,0.5,0))*(1+IF($N$15=$D$1,IF($Y$15*$AD$15&gt;=$K$1,0,IF($Y$15*$AD$15&gt;=$J$1,0,0)),0))*$B17*$D17*$E17^(AE$2-1),1),0)</f>
        <v>0</v>
      </c>
      <c r="AF17" s="47">
        <f>IF(CEILING($B17*$D17/3,1)&gt;=AF$2,CEILING($F$1*IF($Y$15*$AD$15&gt;=$I$1,1,IF($Y$15*$AD$15&gt;=$H$1,0.5,0))*(1+IF($N$15=$D$1,IF($Y$15*$AD$15&gt;=$K$1,0,IF($Y$15*$AD$15&gt;=$J$1,0,0)),0))*$B17*$D17*$E17^(AF$2-1),1),0)</f>
        <v>0</v>
      </c>
      <c r="AG17" s="47">
        <f>IF(CEILING($B17*$D17/3,1)&gt;=AG$2,CEILING($F$1*IF($Y$15*$AD$15&gt;=$I$1,1,IF($Y$15*$AD$15&gt;=$H$1,0.5,0))*(1+IF($N$15=$D$1,IF($Y$15*$AD$15&gt;=$K$1,0,IF($Y$15*$AD$15&gt;=$J$1,0,0)),0))*$B17*$D17*$E17^(AG$2-1),1),0)</f>
        <v>0</v>
      </c>
      <c r="AH17" s="47">
        <f>IF(CEILING($B17*$D17/3,1)&gt;=AH$2,CEILING($F$1*IF($Y$15*$AD$15&gt;=$I$1,1,IF($Y$15*$AD$15&gt;=$H$1,0.5,0))*(1+IF($N$15=$D$1,IF($Y$15*$AD$15&gt;=$K$1,0,IF($Y$15*$AD$15&gt;=$J$1,0,0)),0))*$B17*$D17*$E17^(AH$2-1),1),0)</f>
        <v>0</v>
      </c>
      <c r="AI17" s="48">
        <f>IF(CEILING($B17*$D17/3,1)&gt;=AI$2,CEILING($F$1*IF($Y$15*$AD$15&gt;=$I$1,1,IF($Y$15*$AD$15&gt;=$H$1,0.5,0))*(1+IF($N$15=$D$1,IF($Y$15*$AD$15&gt;=$K$1,0,IF($Y$15*$AD$15&gt;=$J$1,0,0)),0))*$B17*$D17*$E17^(AI$2-1),1),0)</f>
        <v>0</v>
      </c>
    </row>
    <row r="18" spans="1:35" x14ac:dyDescent="0.25">
      <c r="A18" s="58">
        <v>3</v>
      </c>
      <c r="B18" s="60">
        <v>0.95</v>
      </c>
      <c r="C18" s="16">
        <v>0</v>
      </c>
      <c r="D18" s="67">
        <f>CEILING(1+MIN(T$15-C18-1,$L$1)+(T$15-C18-1-MIN(T$15-C18-1,$L$1))/$M$1,1)</f>
        <v>10</v>
      </c>
      <c r="E18" s="63">
        <f>MAX(($G$1/($F$1*D18))^(1/(ROUNDUP(D18/3,)-1)),2/3)</f>
        <v>0.66666666666666663</v>
      </c>
      <c r="F18" s="47">
        <f>IF(CEILING($B18*$D18/3,1)&gt;=F$2,CEILING($F$1*IF($Y$15*$AD$15&gt;=$I$1,1,IF($Y$15*$AD$15&gt;=$H$1,0.5,0))*(1+IF($N$15=$D$1,IF($Y$15*$AD$15&gt;=$K$1,0,IF($Y$15*$AD$15&gt;=$J$1,0,0)),0))*$B18*$D18*$E18^(F$2-1),1),0)</f>
        <v>19</v>
      </c>
      <c r="G18" s="47">
        <f>IF(CEILING($B18*$D18/3,1)&gt;=G$2,CEILING($F$1*IF($Y$15*$AD$15&gt;=$I$1,1,IF($Y$15*$AD$15&gt;=$H$1,0.5,0))*(1+IF($N$15=$D$1,IF($Y$15*$AD$15&gt;=$K$1,0,IF($Y$15*$AD$15&gt;=$J$1,0,0)),0))*$B18*$D18*$E18^(G$2-1),1),0)</f>
        <v>13</v>
      </c>
      <c r="H18" s="47">
        <f>IF(CEILING($B18*$D18/3,1)&gt;=H$2,CEILING($F$1*IF($Y$15*$AD$15&gt;=$I$1,1,IF($Y$15*$AD$15&gt;=$H$1,0.5,0))*(1+IF($N$15=$D$1,IF($Y$15*$AD$15&gt;=$K$1,0,IF($Y$15*$AD$15&gt;=$J$1,0,0)),0))*$B18*$D18*$E18^(H$2-1),1),0)</f>
        <v>9</v>
      </c>
      <c r="I18" s="47">
        <f>IF(CEILING($B18*$D18/3,1)&gt;=I$2,CEILING($F$1*IF($Y$15*$AD$15&gt;=$I$1,1,IF($Y$15*$AD$15&gt;=$H$1,0.5,0))*(1+IF($N$15=$D$1,IF($Y$15*$AD$15&gt;=$K$1,0,IF($Y$15*$AD$15&gt;=$J$1,0,0)),0))*$B18*$D18*$E18^(I$2-1),1),0)</f>
        <v>6</v>
      </c>
      <c r="J18" s="47">
        <f>IF(CEILING($B18*$D18/3,1)&gt;=J$2,CEILING($F$1*IF($Y$15*$AD$15&gt;=$I$1,1,IF($Y$15*$AD$15&gt;=$H$1,0.5,0))*(1+IF($N$15=$D$1,IF($Y$15*$AD$15&gt;=$K$1,0,IF($Y$15*$AD$15&gt;=$J$1,0,0)),0))*$B18*$D18*$E18^(J$2-1),1),0)</f>
        <v>0</v>
      </c>
      <c r="K18" s="47">
        <f>IF(CEILING($B18*$D18/3,1)&gt;=K$2,CEILING($F$1*IF($Y$15*$AD$15&gt;=$I$1,1,IF($Y$15*$AD$15&gt;=$H$1,0.5,0))*(1+IF($N$15=$D$1,IF($Y$15*$AD$15&gt;=$K$1,0,IF($Y$15*$AD$15&gt;=$J$1,0,0)),0))*$B18*$D18*$E18^(K$2-1),1),0)</f>
        <v>0</v>
      </c>
      <c r="L18" s="47">
        <f>IF(CEILING($B18*$D18/3,1)&gt;=L$2,CEILING($F$1*IF($Y$15*$AD$15&gt;=$I$1,1,IF($Y$15*$AD$15&gt;=$H$1,0.5,0))*(1+IF($N$15=$D$1,IF($Y$15*$AD$15&gt;=$K$1,0,IF($Y$15*$AD$15&gt;=$J$1,0,0)),0))*$B18*$D18*$E18^(L$2-1),1),0)</f>
        <v>0</v>
      </c>
      <c r="M18" s="47">
        <f>IF(CEILING($B18*$D18/3,1)&gt;=M$2,CEILING($F$1*IF($Y$15*$AD$15&gt;=$I$1,1,IF($Y$15*$AD$15&gt;=$H$1,0.5,0))*(1+IF($N$15=$D$1,IF($Y$15*$AD$15&gt;=$K$1,0,IF($Y$15*$AD$15&gt;=$J$1,0,0)),0))*$B18*$D18*$E18^(M$2-1),1),0)</f>
        <v>0</v>
      </c>
      <c r="N18" s="47">
        <f>IF(CEILING($B18*$D18/3,1)&gt;=N$2,CEILING($F$1*IF($Y$15*$AD$15&gt;=$I$1,1,IF($Y$15*$AD$15&gt;=$H$1,0.5,0))*(1+IF($N$15=$D$1,IF($Y$15*$AD$15&gt;=$K$1,0,IF($Y$15*$AD$15&gt;=$J$1,0,0)),0))*$B18*$D18*$E18^(N$2-1),1),0)</f>
        <v>0</v>
      </c>
      <c r="O18" s="47">
        <f>IF(CEILING($B18*$D18/3,1)&gt;=O$2,CEILING($F$1*IF($Y$15*$AD$15&gt;=$I$1,1,IF($Y$15*$AD$15&gt;=$H$1,0.5,0))*(1+IF($N$15=$D$1,IF($Y$15*$AD$15&gt;=$K$1,0,IF($Y$15*$AD$15&gt;=$J$1,0,0)),0))*$B18*$D18*$E18^(O$2-1),1),0)</f>
        <v>0</v>
      </c>
      <c r="P18" s="47">
        <f>IF(CEILING($B18*$D18/3,1)&gt;=P$2,CEILING($F$1*IF($Y$15*$AD$15&gt;=$I$1,1,IF($Y$15*$AD$15&gt;=$H$1,0.5,0))*(1+IF($N$15=$D$1,IF($Y$15*$AD$15&gt;=$K$1,0,IF($Y$15*$AD$15&gt;=$J$1,0,0)),0))*$B18*$D18*$E18^(P$2-1),1),0)</f>
        <v>0</v>
      </c>
      <c r="Q18" s="47">
        <f>IF(CEILING($B18*$D18/3,1)&gt;=Q$2,CEILING($F$1*IF($Y$15*$AD$15&gt;=$I$1,1,IF($Y$15*$AD$15&gt;=$H$1,0.5,0))*(1+IF($N$15=$D$1,IF($Y$15*$AD$15&gt;=$K$1,0,IF($Y$15*$AD$15&gt;=$J$1,0,0)),0))*$B18*$D18*$E18^(Q$2-1),1),0)</f>
        <v>0</v>
      </c>
      <c r="R18" s="47">
        <f>IF(CEILING($B18*$D18/3,1)&gt;=R$2,CEILING($F$1*IF($Y$15*$AD$15&gt;=$I$1,1,IF($Y$15*$AD$15&gt;=$H$1,0.5,0))*(1+IF($N$15=$D$1,IF($Y$15*$AD$15&gt;=$K$1,0,IF($Y$15*$AD$15&gt;=$J$1,0,0)),0))*$B18*$D18*$E18^(R$2-1),1),0)</f>
        <v>0</v>
      </c>
      <c r="S18" s="47">
        <f>IF(CEILING($B18*$D18/3,1)&gt;=S$2,CEILING($F$1*IF($Y$15*$AD$15&gt;=$I$1,1,IF($Y$15*$AD$15&gt;=$H$1,0.5,0))*(1+IF($N$15=$D$1,IF($Y$15*$AD$15&gt;=$K$1,0,IF($Y$15*$AD$15&gt;=$J$1,0,0)),0))*$B18*$D18*$E18^(S$2-1),1),0)</f>
        <v>0</v>
      </c>
      <c r="T18" s="47">
        <f>IF(CEILING($B18*$D18/3,1)&gt;=T$2,CEILING($F$1*IF($Y$15*$AD$15&gt;=$I$1,1,IF($Y$15*$AD$15&gt;=$H$1,0.5,0))*(1+IF($N$15=$D$1,IF($Y$15*$AD$15&gt;=$K$1,0,IF($Y$15*$AD$15&gt;=$J$1,0,0)),0))*$B18*$D18*$E18^(T$2-1),1),0)</f>
        <v>0</v>
      </c>
      <c r="U18" s="47">
        <f>IF(CEILING($B18*$D18/3,1)&gt;=U$2,CEILING($F$1*IF($Y$15*$AD$15&gt;=$I$1,1,IF($Y$15*$AD$15&gt;=$H$1,0.5,0))*(1+IF($N$15=$D$1,IF($Y$15*$AD$15&gt;=$K$1,0,IF($Y$15*$AD$15&gt;=$J$1,0,0)),0))*$B18*$D18*$E18^(U$2-1),1),0)</f>
        <v>0</v>
      </c>
      <c r="V18" s="47">
        <f>IF(CEILING($B18*$D18/3,1)&gt;=V$2,CEILING($F$1*IF($Y$15*$AD$15&gt;=$I$1,1,IF($Y$15*$AD$15&gt;=$H$1,0.5,0))*(1+IF($N$15=$D$1,IF($Y$15*$AD$15&gt;=$K$1,0,IF($Y$15*$AD$15&gt;=$J$1,0,0)),0))*$B18*$D18*$E18^(V$2-1),1),0)</f>
        <v>0</v>
      </c>
      <c r="W18" s="47">
        <f>IF(CEILING($B18*$D18/3,1)&gt;=W$2,CEILING($F$1*IF($Y$15*$AD$15&gt;=$I$1,1,IF($Y$15*$AD$15&gt;=$H$1,0.5,0))*(1+IF($N$15=$D$1,IF($Y$15*$AD$15&gt;=$K$1,0,IF($Y$15*$AD$15&gt;=$J$1,0,0)),0))*$B18*$D18*$E18^(W$2-1),1),0)</f>
        <v>0</v>
      </c>
      <c r="X18" s="47">
        <f>IF(CEILING($B18*$D18/3,1)&gt;=X$2,CEILING($F$1*IF($Y$15*$AD$15&gt;=$I$1,1,IF($Y$15*$AD$15&gt;=$H$1,0.5,0))*(1+IF($N$15=$D$1,IF($Y$15*$AD$15&gt;=$K$1,0,IF($Y$15*$AD$15&gt;=$J$1,0,0)),0))*$B18*$D18*$E18^(X$2-1),1),0)</f>
        <v>0</v>
      </c>
      <c r="Y18" s="47">
        <f>IF(CEILING($B18*$D18/3,1)&gt;=Y$2,CEILING($F$1*IF($Y$15*$AD$15&gt;=$I$1,1,IF($Y$15*$AD$15&gt;=$H$1,0.5,0))*(1+IF($N$15=$D$1,IF($Y$15*$AD$15&gt;=$K$1,0,IF($Y$15*$AD$15&gt;=$J$1,0,0)),0))*$B18*$D18*$E18^(Y$2-1),1),0)</f>
        <v>0</v>
      </c>
      <c r="Z18" s="47">
        <f>IF(CEILING($B18*$D18/3,1)&gt;=Z$2,CEILING($F$1*IF($Y$15*$AD$15&gt;=$I$1,1,IF($Y$15*$AD$15&gt;=$H$1,0.5,0))*(1+IF($N$15=$D$1,IF($Y$15*$AD$15&gt;=$K$1,0,IF($Y$15*$AD$15&gt;=$J$1,0,0)),0))*$B18*$D18*$E18^(Z$2-1),1),0)</f>
        <v>0</v>
      </c>
      <c r="AA18" s="47">
        <f>IF(CEILING($B18*$D18/3,1)&gt;=AA$2,CEILING($F$1*IF($Y$15*$AD$15&gt;=$I$1,1,IF($Y$15*$AD$15&gt;=$H$1,0.5,0))*(1+IF($N$15=$D$1,IF($Y$15*$AD$15&gt;=$K$1,0,IF($Y$15*$AD$15&gt;=$J$1,0,0)),0))*$B18*$D18*$E18^(AA$2-1),1),0)</f>
        <v>0</v>
      </c>
      <c r="AB18" s="47">
        <f>IF(CEILING($B18*$D18/3,1)&gt;=AB$2,CEILING($F$1*IF($Y$15*$AD$15&gt;=$I$1,1,IF($Y$15*$AD$15&gt;=$H$1,0.5,0))*(1+IF($N$15=$D$1,IF($Y$15*$AD$15&gt;=$K$1,0,IF($Y$15*$AD$15&gt;=$J$1,0,0)),0))*$B18*$D18*$E18^(AB$2-1),1),0)</f>
        <v>0</v>
      </c>
      <c r="AC18" s="47">
        <f>IF(CEILING($B18*$D18/3,1)&gt;=AC$2,CEILING($F$1*IF($Y$15*$AD$15&gt;=$I$1,1,IF($Y$15*$AD$15&gt;=$H$1,0.5,0))*(1+IF($N$15=$D$1,IF($Y$15*$AD$15&gt;=$K$1,0,IF($Y$15*$AD$15&gt;=$J$1,0,0)),0))*$B18*$D18*$E18^(AC$2-1),1),0)</f>
        <v>0</v>
      </c>
      <c r="AD18" s="47">
        <f>IF(CEILING($B18*$D18/3,1)&gt;=AD$2,CEILING($F$1*IF($Y$15*$AD$15&gt;=$I$1,1,IF($Y$15*$AD$15&gt;=$H$1,0.5,0))*(1+IF($N$15=$D$1,IF($Y$15*$AD$15&gt;=$K$1,0,IF($Y$15*$AD$15&gt;=$J$1,0,0)),0))*$B18*$D18*$E18^(AD$2-1),1),0)</f>
        <v>0</v>
      </c>
      <c r="AE18" s="47">
        <f>IF(CEILING($B18*$D18/3,1)&gt;=AE$2,CEILING($F$1*IF($Y$15*$AD$15&gt;=$I$1,1,IF($Y$15*$AD$15&gt;=$H$1,0.5,0))*(1+IF($N$15=$D$1,IF($Y$15*$AD$15&gt;=$K$1,0,IF($Y$15*$AD$15&gt;=$J$1,0,0)),0))*$B18*$D18*$E18^(AE$2-1),1),0)</f>
        <v>0</v>
      </c>
      <c r="AF18" s="47">
        <f>IF(CEILING($B18*$D18/3,1)&gt;=AF$2,CEILING($F$1*IF($Y$15*$AD$15&gt;=$I$1,1,IF($Y$15*$AD$15&gt;=$H$1,0.5,0))*(1+IF($N$15=$D$1,IF($Y$15*$AD$15&gt;=$K$1,0,IF($Y$15*$AD$15&gt;=$J$1,0,0)),0))*$B18*$D18*$E18^(AF$2-1),1),0)</f>
        <v>0</v>
      </c>
      <c r="AG18" s="47">
        <f>IF(CEILING($B18*$D18/3,1)&gt;=AG$2,CEILING($F$1*IF($Y$15*$AD$15&gt;=$I$1,1,IF($Y$15*$AD$15&gt;=$H$1,0.5,0))*(1+IF($N$15=$D$1,IF($Y$15*$AD$15&gt;=$K$1,0,IF($Y$15*$AD$15&gt;=$J$1,0,0)),0))*$B18*$D18*$E18^(AG$2-1),1),0)</f>
        <v>0</v>
      </c>
      <c r="AH18" s="47">
        <f>IF(CEILING($B18*$D18/3,1)&gt;=AH$2,CEILING($F$1*IF($Y$15*$AD$15&gt;=$I$1,1,IF($Y$15*$AD$15&gt;=$H$1,0.5,0))*(1+IF($N$15=$D$1,IF($Y$15*$AD$15&gt;=$K$1,0,IF($Y$15*$AD$15&gt;=$J$1,0,0)),0))*$B18*$D18*$E18^(AH$2-1),1),0)</f>
        <v>0</v>
      </c>
      <c r="AI18" s="48">
        <f>IF(CEILING($B18*$D18/3,1)&gt;=AI$2,CEILING($F$1*IF($Y$15*$AD$15&gt;=$I$1,1,IF($Y$15*$AD$15&gt;=$H$1,0.5,0))*(1+IF($N$15=$D$1,IF($Y$15*$AD$15&gt;=$K$1,0,IF($Y$15*$AD$15&gt;=$J$1,0,0)),0))*$B18*$D18*$E18^(AI$2-1),1),0)</f>
        <v>0</v>
      </c>
    </row>
    <row r="19" spans="1:35" x14ac:dyDescent="0.25">
      <c r="A19" s="58">
        <v>4</v>
      </c>
      <c r="B19" s="60">
        <v>0.85</v>
      </c>
      <c r="C19" s="16">
        <v>0</v>
      </c>
      <c r="D19" s="67">
        <f>CEILING(1+MIN(T$15-C19-1,$L$1)+(T$15-C19-1-MIN(T$15-C19-1,$L$1))/$M$1,1)</f>
        <v>10</v>
      </c>
      <c r="E19" s="63">
        <f>MAX(($G$1/($F$1*D19))^(1/(ROUNDUP(D19/3,)-1)),2/3)</f>
        <v>0.66666666666666663</v>
      </c>
      <c r="F19" s="47">
        <f>IF(CEILING($B19*$D19/3,1)&gt;=F$2,CEILING($F$1*IF($Y$15*$AD$15&gt;=$I$1,1,IF($Y$15*$AD$15&gt;=$H$1,0.5,0))*(1+IF($N$15=$D$1,IF($Y$15*$AD$15&gt;=$K$1,0,IF($Y$15*$AD$15&gt;=$J$1,0,0)),0))*$B19*$D19*$E19^(F$2-1),1),0)</f>
        <v>17</v>
      </c>
      <c r="G19" s="47">
        <f>IF(CEILING($B19*$D19/3,1)&gt;=G$2,CEILING($F$1*IF($Y$15*$AD$15&gt;=$I$1,1,IF($Y$15*$AD$15&gt;=$H$1,0.5,0))*(1+IF($N$15=$D$1,IF($Y$15*$AD$15&gt;=$K$1,0,IF($Y$15*$AD$15&gt;=$J$1,0,0)),0))*$B19*$D19*$E19^(G$2-1),1),0)</f>
        <v>12</v>
      </c>
      <c r="H19" s="47">
        <f>IF(CEILING($B19*$D19/3,1)&gt;=H$2,CEILING($F$1*IF($Y$15*$AD$15&gt;=$I$1,1,IF($Y$15*$AD$15&gt;=$H$1,0.5,0))*(1+IF($N$15=$D$1,IF($Y$15*$AD$15&gt;=$K$1,0,IF($Y$15*$AD$15&gt;=$J$1,0,0)),0))*$B19*$D19*$E19^(H$2-1),1),0)</f>
        <v>8</v>
      </c>
      <c r="I19" s="47">
        <f>IF(CEILING($B19*$D19/3,1)&gt;=I$2,CEILING($F$1*IF($Y$15*$AD$15&gt;=$I$1,1,IF($Y$15*$AD$15&gt;=$H$1,0.5,0))*(1+IF($N$15=$D$1,IF($Y$15*$AD$15&gt;=$K$1,0,IF($Y$15*$AD$15&gt;=$J$1,0,0)),0))*$B19*$D19*$E19^(I$2-1),1),0)</f>
        <v>0</v>
      </c>
      <c r="J19" s="47">
        <f>IF(CEILING($B19*$D19/3,1)&gt;=J$2,CEILING($F$1*IF($Y$15*$AD$15&gt;=$I$1,1,IF($Y$15*$AD$15&gt;=$H$1,0.5,0))*(1+IF($N$15=$D$1,IF($Y$15*$AD$15&gt;=$K$1,0,IF($Y$15*$AD$15&gt;=$J$1,0,0)),0))*$B19*$D19*$E19^(J$2-1),1),0)</f>
        <v>0</v>
      </c>
      <c r="K19" s="47">
        <f>IF(CEILING($B19*$D19/3,1)&gt;=K$2,CEILING($F$1*IF($Y$15*$AD$15&gt;=$I$1,1,IF($Y$15*$AD$15&gt;=$H$1,0.5,0))*(1+IF($N$15=$D$1,IF($Y$15*$AD$15&gt;=$K$1,0,IF($Y$15*$AD$15&gt;=$J$1,0,0)),0))*$B19*$D19*$E19^(K$2-1),1),0)</f>
        <v>0</v>
      </c>
      <c r="L19" s="47">
        <f>IF(CEILING($B19*$D19/3,1)&gt;=L$2,CEILING($F$1*IF($Y$15*$AD$15&gt;=$I$1,1,IF($Y$15*$AD$15&gt;=$H$1,0.5,0))*(1+IF($N$15=$D$1,IF($Y$15*$AD$15&gt;=$K$1,0,IF($Y$15*$AD$15&gt;=$J$1,0,0)),0))*$B19*$D19*$E19^(L$2-1),1),0)</f>
        <v>0</v>
      </c>
      <c r="M19" s="47">
        <f>IF(CEILING($B19*$D19/3,1)&gt;=M$2,CEILING($F$1*IF($Y$15*$AD$15&gt;=$I$1,1,IF($Y$15*$AD$15&gt;=$H$1,0.5,0))*(1+IF($N$15=$D$1,IF($Y$15*$AD$15&gt;=$K$1,0,IF($Y$15*$AD$15&gt;=$J$1,0,0)),0))*$B19*$D19*$E19^(M$2-1),1),0)</f>
        <v>0</v>
      </c>
      <c r="N19" s="47">
        <f>IF(CEILING($B19*$D19/3,1)&gt;=N$2,CEILING($F$1*IF($Y$15*$AD$15&gt;=$I$1,1,IF($Y$15*$AD$15&gt;=$H$1,0.5,0))*(1+IF($N$15=$D$1,IF($Y$15*$AD$15&gt;=$K$1,0,IF($Y$15*$AD$15&gt;=$J$1,0,0)),0))*$B19*$D19*$E19^(N$2-1),1),0)</f>
        <v>0</v>
      </c>
      <c r="O19" s="47">
        <f>IF(CEILING($B19*$D19/3,1)&gt;=O$2,CEILING($F$1*IF($Y$15*$AD$15&gt;=$I$1,1,IF($Y$15*$AD$15&gt;=$H$1,0.5,0))*(1+IF($N$15=$D$1,IF($Y$15*$AD$15&gt;=$K$1,0,IF($Y$15*$AD$15&gt;=$J$1,0,0)),0))*$B19*$D19*$E19^(O$2-1),1),0)</f>
        <v>0</v>
      </c>
      <c r="P19" s="47">
        <f>IF(CEILING($B19*$D19/3,1)&gt;=P$2,CEILING($F$1*IF($Y$15*$AD$15&gt;=$I$1,1,IF($Y$15*$AD$15&gt;=$H$1,0.5,0))*(1+IF($N$15=$D$1,IF($Y$15*$AD$15&gt;=$K$1,0,IF($Y$15*$AD$15&gt;=$J$1,0,0)),0))*$B19*$D19*$E19^(P$2-1),1),0)</f>
        <v>0</v>
      </c>
      <c r="Q19" s="47">
        <f>IF(CEILING($B19*$D19/3,1)&gt;=Q$2,CEILING($F$1*IF($Y$15*$AD$15&gt;=$I$1,1,IF($Y$15*$AD$15&gt;=$H$1,0.5,0))*(1+IF($N$15=$D$1,IF($Y$15*$AD$15&gt;=$K$1,0,IF($Y$15*$AD$15&gt;=$J$1,0,0)),0))*$B19*$D19*$E19^(Q$2-1),1),0)</f>
        <v>0</v>
      </c>
      <c r="R19" s="47">
        <f>IF(CEILING($B19*$D19/3,1)&gt;=R$2,CEILING($F$1*IF($Y$15*$AD$15&gt;=$I$1,1,IF($Y$15*$AD$15&gt;=$H$1,0.5,0))*(1+IF($N$15=$D$1,IF($Y$15*$AD$15&gt;=$K$1,0,IF($Y$15*$AD$15&gt;=$J$1,0,0)),0))*$B19*$D19*$E19^(R$2-1),1),0)</f>
        <v>0</v>
      </c>
      <c r="S19" s="47">
        <f>IF(CEILING($B19*$D19/3,1)&gt;=S$2,CEILING($F$1*IF($Y$15*$AD$15&gt;=$I$1,1,IF($Y$15*$AD$15&gt;=$H$1,0.5,0))*(1+IF($N$15=$D$1,IF($Y$15*$AD$15&gt;=$K$1,0,IF($Y$15*$AD$15&gt;=$J$1,0,0)),0))*$B19*$D19*$E19^(S$2-1),1),0)</f>
        <v>0</v>
      </c>
      <c r="T19" s="47">
        <f>IF(CEILING($B19*$D19/3,1)&gt;=T$2,CEILING($F$1*IF($Y$15*$AD$15&gt;=$I$1,1,IF($Y$15*$AD$15&gt;=$H$1,0.5,0))*(1+IF($N$15=$D$1,IF($Y$15*$AD$15&gt;=$K$1,0,IF($Y$15*$AD$15&gt;=$J$1,0,0)),0))*$B19*$D19*$E19^(T$2-1),1),0)</f>
        <v>0</v>
      </c>
      <c r="U19" s="47">
        <f>IF(CEILING($B19*$D19/3,1)&gt;=U$2,CEILING($F$1*IF($Y$15*$AD$15&gt;=$I$1,1,IF($Y$15*$AD$15&gt;=$H$1,0.5,0))*(1+IF($N$15=$D$1,IF($Y$15*$AD$15&gt;=$K$1,0,IF($Y$15*$AD$15&gt;=$J$1,0,0)),0))*$B19*$D19*$E19^(U$2-1),1),0)</f>
        <v>0</v>
      </c>
      <c r="V19" s="47">
        <f>IF(CEILING($B19*$D19/3,1)&gt;=V$2,CEILING($F$1*IF($Y$15*$AD$15&gt;=$I$1,1,IF($Y$15*$AD$15&gt;=$H$1,0.5,0))*(1+IF($N$15=$D$1,IF($Y$15*$AD$15&gt;=$K$1,0,IF($Y$15*$AD$15&gt;=$J$1,0,0)),0))*$B19*$D19*$E19^(V$2-1),1),0)</f>
        <v>0</v>
      </c>
      <c r="W19" s="47">
        <f>IF(CEILING($B19*$D19/3,1)&gt;=W$2,CEILING($F$1*IF($Y$15*$AD$15&gt;=$I$1,1,IF($Y$15*$AD$15&gt;=$H$1,0.5,0))*(1+IF($N$15=$D$1,IF($Y$15*$AD$15&gt;=$K$1,0,IF($Y$15*$AD$15&gt;=$J$1,0,0)),0))*$B19*$D19*$E19^(W$2-1),1),0)</f>
        <v>0</v>
      </c>
      <c r="X19" s="47">
        <f>IF(CEILING($B19*$D19/3,1)&gt;=X$2,CEILING($F$1*IF($Y$15*$AD$15&gt;=$I$1,1,IF($Y$15*$AD$15&gt;=$H$1,0.5,0))*(1+IF($N$15=$D$1,IF($Y$15*$AD$15&gt;=$K$1,0,IF($Y$15*$AD$15&gt;=$J$1,0,0)),0))*$B19*$D19*$E19^(X$2-1),1),0)</f>
        <v>0</v>
      </c>
      <c r="Y19" s="47">
        <f>IF(CEILING($B19*$D19/3,1)&gt;=Y$2,CEILING($F$1*IF($Y$15*$AD$15&gt;=$I$1,1,IF($Y$15*$AD$15&gt;=$H$1,0.5,0))*(1+IF($N$15=$D$1,IF($Y$15*$AD$15&gt;=$K$1,0,IF($Y$15*$AD$15&gt;=$J$1,0,0)),0))*$B19*$D19*$E19^(Y$2-1),1),0)</f>
        <v>0</v>
      </c>
      <c r="Z19" s="47">
        <f>IF(CEILING($B19*$D19/3,1)&gt;=Z$2,CEILING($F$1*IF($Y$15*$AD$15&gt;=$I$1,1,IF($Y$15*$AD$15&gt;=$H$1,0.5,0))*(1+IF($N$15=$D$1,IF($Y$15*$AD$15&gt;=$K$1,0,IF($Y$15*$AD$15&gt;=$J$1,0,0)),0))*$B19*$D19*$E19^(Z$2-1),1),0)</f>
        <v>0</v>
      </c>
      <c r="AA19" s="47">
        <f>IF(CEILING($B19*$D19/3,1)&gt;=AA$2,CEILING($F$1*IF($Y$15*$AD$15&gt;=$I$1,1,IF($Y$15*$AD$15&gt;=$H$1,0.5,0))*(1+IF($N$15=$D$1,IF($Y$15*$AD$15&gt;=$K$1,0,IF($Y$15*$AD$15&gt;=$J$1,0,0)),0))*$B19*$D19*$E19^(AA$2-1),1),0)</f>
        <v>0</v>
      </c>
      <c r="AB19" s="47">
        <f>IF(CEILING($B19*$D19/3,1)&gt;=AB$2,CEILING($F$1*IF($Y$15*$AD$15&gt;=$I$1,1,IF($Y$15*$AD$15&gt;=$H$1,0.5,0))*(1+IF($N$15=$D$1,IF($Y$15*$AD$15&gt;=$K$1,0,IF($Y$15*$AD$15&gt;=$J$1,0,0)),0))*$B19*$D19*$E19^(AB$2-1),1),0)</f>
        <v>0</v>
      </c>
      <c r="AC19" s="47">
        <f>IF(CEILING($B19*$D19/3,1)&gt;=AC$2,CEILING($F$1*IF($Y$15*$AD$15&gt;=$I$1,1,IF($Y$15*$AD$15&gt;=$H$1,0.5,0))*(1+IF($N$15=$D$1,IF($Y$15*$AD$15&gt;=$K$1,0,IF($Y$15*$AD$15&gt;=$J$1,0,0)),0))*$B19*$D19*$E19^(AC$2-1),1),0)</f>
        <v>0</v>
      </c>
      <c r="AD19" s="47">
        <f>IF(CEILING($B19*$D19/3,1)&gt;=AD$2,CEILING($F$1*IF($Y$15*$AD$15&gt;=$I$1,1,IF($Y$15*$AD$15&gt;=$H$1,0.5,0))*(1+IF($N$15=$D$1,IF($Y$15*$AD$15&gt;=$K$1,0,IF($Y$15*$AD$15&gt;=$J$1,0,0)),0))*$B19*$D19*$E19^(AD$2-1),1),0)</f>
        <v>0</v>
      </c>
      <c r="AE19" s="47">
        <f>IF(CEILING($B19*$D19/3,1)&gt;=AE$2,CEILING($F$1*IF($Y$15*$AD$15&gt;=$I$1,1,IF($Y$15*$AD$15&gt;=$H$1,0.5,0))*(1+IF($N$15=$D$1,IF($Y$15*$AD$15&gt;=$K$1,0,IF($Y$15*$AD$15&gt;=$J$1,0,0)),0))*$B19*$D19*$E19^(AE$2-1),1),0)</f>
        <v>0</v>
      </c>
      <c r="AF19" s="47">
        <f>IF(CEILING($B19*$D19/3,1)&gt;=AF$2,CEILING($F$1*IF($Y$15*$AD$15&gt;=$I$1,1,IF($Y$15*$AD$15&gt;=$H$1,0.5,0))*(1+IF($N$15=$D$1,IF($Y$15*$AD$15&gt;=$K$1,0,IF($Y$15*$AD$15&gt;=$J$1,0,0)),0))*$B19*$D19*$E19^(AF$2-1),1),0)</f>
        <v>0</v>
      </c>
      <c r="AG19" s="47">
        <f>IF(CEILING($B19*$D19/3,1)&gt;=AG$2,CEILING($F$1*IF($Y$15*$AD$15&gt;=$I$1,1,IF($Y$15*$AD$15&gt;=$H$1,0.5,0))*(1+IF($N$15=$D$1,IF($Y$15*$AD$15&gt;=$K$1,0,IF($Y$15*$AD$15&gt;=$J$1,0,0)),0))*$B19*$D19*$E19^(AG$2-1),1),0)</f>
        <v>0</v>
      </c>
      <c r="AH19" s="47">
        <f>IF(CEILING($B19*$D19/3,1)&gt;=AH$2,CEILING($F$1*IF($Y$15*$AD$15&gt;=$I$1,1,IF($Y$15*$AD$15&gt;=$H$1,0.5,0))*(1+IF($N$15=$D$1,IF($Y$15*$AD$15&gt;=$K$1,0,IF($Y$15*$AD$15&gt;=$J$1,0,0)),0))*$B19*$D19*$E19^(AH$2-1),1),0)</f>
        <v>0</v>
      </c>
      <c r="AI19" s="48">
        <f>IF(CEILING($B19*$D19/3,1)&gt;=AI$2,CEILING($F$1*IF($Y$15*$AD$15&gt;=$I$1,1,IF($Y$15*$AD$15&gt;=$H$1,0.5,0))*(1+IF($N$15=$D$1,IF($Y$15*$AD$15&gt;=$K$1,0,IF($Y$15*$AD$15&gt;=$J$1,0,0)),0))*$B19*$D19*$E19^(AI$2-1),1),0)</f>
        <v>0</v>
      </c>
    </row>
    <row r="20" spans="1:35" ht="15" customHeight="1" x14ac:dyDescent="0.25">
      <c r="A20" s="58"/>
      <c r="B20" s="60"/>
      <c r="C20" s="6"/>
      <c r="D20" s="68"/>
      <c r="E20" s="64"/>
      <c r="F20" s="49"/>
      <c r="G20" s="49"/>
      <c r="H20" s="49"/>
      <c r="I20" s="49"/>
      <c r="J20" s="50"/>
      <c r="K20" s="50"/>
      <c r="L20" s="50"/>
      <c r="M20" s="50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51"/>
    </row>
    <row r="21" spans="1:35" x14ac:dyDescent="0.25">
      <c r="A21" s="58"/>
      <c r="B21" s="60"/>
      <c r="C21" s="6"/>
      <c r="D21" s="68"/>
      <c r="E21" s="64"/>
      <c r="F21" s="117" t="s">
        <v>11</v>
      </c>
      <c r="G21" s="117"/>
      <c r="H21" s="117"/>
      <c r="I21" s="36">
        <v>5</v>
      </c>
      <c r="J21" s="113" t="s">
        <v>3</v>
      </c>
      <c r="K21" s="113"/>
      <c r="L21" s="113"/>
      <c r="M21" s="113"/>
      <c r="N21" s="118" t="s">
        <v>27</v>
      </c>
      <c r="O21" s="118"/>
      <c r="P21" s="115" t="s">
        <v>1</v>
      </c>
      <c r="Q21" s="115"/>
      <c r="R21" s="115"/>
      <c r="S21" s="115"/>
      <c r="T21" s="15">
        <v>10</v>
      </c>
      <c r="U21" s="116" t="s">
        <v>2</v>
      </c>
      <c r="V21" s="116"/>
      <c r="W21" s="116"/>
      <c r="X21" s="116"/>
      <c r="Y21" s="15">
        <v>9</v>
      </c>
      <c r="Z21" s="116" t="s">
        <v>4</v>
      </c>
      <c r="AA21" s="116"/>
      <c r="AB21" s="116"/>
      <c r="AC21" s="116"/>
      <c r="AD21" s="15">
        <v>3</v>
      </c>
      <c r="AE21" s="26"/>
      <c r="AF21" s="26"/>
      <c r="AG21" s="26"/>
      <c r="AH21" s="26"/>
      <c r="AI21" s="27"/>
    </row>
    <row r="22" spans="1:35" x14ac:dyDescent="0.25">
      <c r="A22" s="58">
        <v>1</v>
      </c>
      <c r="B22" s="60">
        <v>1.2</v>
      </c>
      <c r="C22" s="16">
        <v>0</v>
      </c>
      <c r="D22" s="67">
        <f>CEILING(1+MIN(T$21-C22-1,$L$1)+(T$21-C22-1-MIN(T$21-C22-1,$L$1))/$M$1,1)</f>
        <v>10</v>
      </c>
      <c r="E22" s="63">
        <f>MAX(($G$1/($F$1*D22))^(1/(ROUNDUP(D22/3,)-1)),2/3)</f>
        <v>0.66666666666666663</v>
      </c>
      <c r="F22" s="47">
        <f>IF(CEILING($B22*$D22/3,1)&gt;=F$2,CEILING($F$1*IF($Y$21*$AD$21&gt;=$I$1,1,IF($Y$21*$AD$21&gt;=$H$1,0.5,0))*(1+IF($N$21=$D$1,IF($Y$21*$AD$21&gt;=$K$1,0,IF($Y$21*$AD$21&gt;=$J$1,0,0)),0))*$B22*$D22*$E22^(F$2-1),1),0)</f>
        <v>24</v>
      </c>
      <c r="G22" s="47">
        <f>IF(CEILING($B22*$D22/3,1)&gt;=G$2,CEILING($F$1*IF($Y$21*$AD$21&gt;=$I$1,1,IF($Y$21*$AD$21&gt;=$H$1,0.5,0))*(1+IF($N$21=$D$1,IF($Y$21*$AD$21&gt;=$K$1,0,IF($Y$21*$AD$21&gt;=$J$1,0,0)),0))*$B22*$D22*$E22^(G$2-1),1),0)</f>
        <v>16</v>
      </c>
      <c r="H22" s="47">
        <f>IF(CEILING($B22*$D22/3,1)&gt;=H$2,CEILING($F$1*IF($Y$21*$AD$21&gt;=$I$1,1,IF($Y$21*$AD$21&gt;=$H$1,0.5,0))*(1+IF($N$21=$D$1,IF($Y$21*$AD$21&gt;=$K$1,0,IF($Y$21*$AD$21&gt;=$J$1,0,0)),0))*$B22*$D22*$E22^(H$2-1),1),0)</f>
        <v>11</v>
      </c>
      <c r="I22" s="47">
        <f>IF(CEILING($B22*$D22/3,1)&gt;=I$2,CEILING($F$1*IF($Y$21*$AD$21&gt;=$I$1,1,IF($Y$21*$AD$21&gt;=$H$1,0.5,0))*(1+IF($N$21=$D$1,IF($Y$21*$AD$21&gt;=$K$1,0,IF($Y$21*$AD$21&gt;=$J$1,0,0)),0))*$B22*$D22*$E22^(I$2-1),1),0)</f>
        <v>8</v>
      </c>
      <c r="J22" s="47">
        <f>IF(CEILING($B22*$D22/3,1)&gt;=J$2,CEILING($F$1*IF($Y$21*$AD$21&gt;=$I$1,1,IF($Y$21*$AD$21&gt;=$H$1,0.5,0))*(1+IF($N$21=$D$1,IF($Y$21*$AD$21&gt;=$K$1,0,IF($Y$21*$AD$21&gt;=$J$1,0,0)),0))*$B22*$D22*$E22^(J$2-1),1),0)</f>
        <v>0</v>
      </c>
      <c r="K22" s="47">
        <f>IF(CEILING($B22*$D22/3,1)&gt;=K$2,CEILING($F$1*IF($Y$21*$AD$21&gt;=$I$1,1,IF($Y$21*$AD$21&gt;=$H$1,0.5,0))*(1+IF($N$21=$D$1,IF($Y$21*$AD$21&gt;=$K$1,0,IF($Y$21*$AD$21&gt;=$J$1,0,0)),0))*$B22*$D22*$E22^(K$2-1),1),0)</f>
        <v>0</v>
      </c>
      <c r="L22" s="47">
        <f>IF(CEILING($B22*$D22/3,1)&gt;=L$2,CEILING($F$1*IF($Y$21*$AD$21&gt;=$I$1,1,IF($Y$21*$AD$21&gt;=$H$1,0.5,0))*(1+IF($N$21=$D$1,IF($Y$21*$AD$21&gt;=$K$1,0,IF($Y$21*$AD$21&gt;=$J$1,0,0)),0))*$B22*$D22*$E22^(L$2-1),1),0)</f>
        <v>0</v>
      </c>
      <c r="M22" s="47">
        <f>IF(CEILING($B22*$D22/3,1)&gt;=M$2,CEILING($F$1*IF($Y$21*$AD$21&gt;=$I$1,1,IF($Y$21*$AD$21&gt;=$H$1,0.5,0))*(1+IF($N$21=$D$1,IF($Y$21*$AD$21&gt;=$K$1,0,IF($Y$21*$AD$21&gt;=$J$1,0,0)),0))*$B22*$D22*$E22^(M$2-1),1),0)</f>
        <v>0</v>
      </c>
      <c r="N22" s="47">
        <f>IF(CEILING($B22*$D22/3,1)&gt;=N$2,CEILING($F$1*IF($Y$21*$AD$21&gt;=$I$1,1,IF($Y$21*$AD$21&gt;=$H$1,0.5,0))*(1+IF($N$21=$D$1,IF($Y$21*$AD$21&gt;=$K$1,0,IF($Y$21*$AD$21&gt;=$J$1,0,0)),0))*$B22*$D22*$E22^(N$2-1),1),0)</f>
        <v>0</v>
      </c>
      <c r="O22" s="47">
        <f>IF(CEILING($B22*$D22/3,1)&gt;=O$2,CEILING($F$1*IF($Y$21*$AD$21&gt;=$I$1,1,IF($Y$21*$AD$21&gt;=$H$1,0.5,0))*(1+IF($N$21=$D$1,IF($Y$21*$AD$21&gt;=$K$1,0,IF($Y$21*$AD$21&gt;=$J$1,0,0)),0))*$B22*$D22*$E22^(O$2-1),1),0)</f>
        <v>0</v>
      </c>
      <c r="P22" s="47">
        <f>IF(CEILING($B22*$D22/3,1)&gt;=P$2,CEILING($F$1*IF($Y$21*$AD$21&gt;=$I$1,1,IF($Y$21*$AD$21&gt;=$H$1,0.5,0))*(1+IF($N$21=$D$1,IF($Y$21*$AD$21&gt;=$K$1,0,IF($Y$21*$AD$21&gt;=$J$1,0,0)),0))*$B22*$D22*$E22^(P$2-1),1),0)</f>
        <v>0</v>
      </c>
      <c r="Q22" s="47">
        <f>IF(CEILING($B22*$D22/3,1)&gt;=Q$2,CEILING($F$1*IF($Y$21*$AD$21&gt;=$I$1,1,IF($Y$21*$AD$21&gt;=$H$1,0.5,0))*(1+IF($N$21=$D$1,IF($Y$21*$AD$21&gt;=$K$1,0,IF($Y$21*$AD$21&gt;=$J$1,0,0)),0))*$B22*$D22*$E22^(Q$2-1),1),0)</f>
        <v>0</v>
      </c>
      <c r="R22" s="47">
        <f>IF(CEILING($B22*$D22/3,1)&gt;=R$2,CEILING($F$1*IF($Y$21*$AD$21&gt;=$I$1,1,IF($Y$21*$AD$21&gt;=$H$1,0.5,0))*(1+IF($N$21=$D$1,IF($Y$21*$AD$21&gt;=$K$1,0,IF($Y$21*$AD$21&gt;=$J$1,0,0)),0))*$B22*$D22*$E22^(R$2-1),1),0)</f>
        <v>0</v>
      </c>
      <c r="S22" s="47">
        <f>IF(CEILING($B22*$D22/3,1)&gt;=S$2,CEILING($F$1*IF($Y$21*$AD$21&gt;=$I$1,1,IF($Y$21*$AD$21&gt;=$H$1,0.5,0))*(1+IF($N$21=$D$1,IF($Y$21*$AD$21&gt;=$K$1,0,IF($Y$21*$AD$21&gt;=$J$1,0,0)),0))*$B22*$D22*$E22^(S$2-1),1),0)</f>
        <v>0</v>
      </c>
      <c r="T22" s="47">
        <f>IF(CEILING($B22*$D22/3,1)&gt;=T$2,CEILING($F$1*IF($Y$21*$AD$21&gt;=$I$1,1,IF($Y$21*$AD$21&gt;=$H$1,0.5,0))*(1+IF($N$21=$D$1,IF($Y$21*$AD$21&gt;=$K$1,0,IF($Y$21*$AD$21&gt;=$J$1,0,0)),0))*$B22*$D22*$E22^(T$2-1),1),0)</f>
        <v>0</v>
      </c>
      <c r="U22" s="47">
        <f>IF(CEILING($B22*$D22/3,1)&gt;=U$2,CEILING($F$1*IF($Y$21*$AD$21&gt;=$I$1,1,IF($Y$21*$AD$21&gt;=$H$1,0.5,0))*(1+IF($N$21=$D$1,IF($Y$21*$AD$21&gt;=$K$1,0,IF($Y$21*$AD$21&gt;=$J$1,0,0)),0))*$B22*$D22*$E22^(U$2-1),1),0)</f>
        <v>0</v>
      </c>
      <c r="V22" s="47">
        <f>IF(CEILING($B22*$D22/3,1)&gt;=V$2,CEILING($F$1*IF($Y$21*$AD$21&gt;=$I$1,1,IF($Y$21*$AD$21&gt;=$H$1,0.5,0))*(1+IF($N$21=$D$1,IF($Y$21*$AD$21&gt;=$K$1,0,IF($Y$21*$AD$21&gt;=$J$1,0,0)),0))*$B22*$D22*$E22^(V$2-1),1),0)</f>
        <v>0</v>
      </c>
      <c r="W22" s="47">
        <f>IF(CEILING($B22*$D22/3,1)&gt;=W$2,CEILING($F$1*IF($Y$21*$AD$21&gt;=$I$1,1,IF($Y$21*$AD$21&gt;=$H$1,0.5,0))*(1+IF($N$21=$D$1,IF($Y$21*$AD$21&gt;=$K$1,0,IF($Y$21*$AD$21&gt;=$J$1,0,0)),0))*$B22*$D22*$E22^(W$2-1),1),0)</f>
        <v>0</v>
      </c>
      <c r="X22" s="47">
        <f>IF(CEILING($B22*$D22/3,1)&gt;=X$2,CEILING($F$1*IF($Y$21*$AD$21&gt;=$I$1,1,IF($Y$21*$AD$21&gt;=$H$1,0.5,0))*(1+IF($N$21=$D$1,IF($Y$21*$AD$21&gt;=$K$1,0,IF($Y$21*$AD$21&gt;=$J$1,0,0)),0))*$B22*$D22*$E22^(X$2-1),1),0)</f>
        <v>0</v>
      </c>
      <c r="Y22" s="47">
        <f>IF(CEILING($B22*$D22/3,1)&gt;=Y$2,CEILING($F$1*IF($Y$21*$AD$21&gt;=$I$1,1,IF($Y$21*$AD$21&gt;=$H$1,0.5,0))*(1+IF($N$21=$D$1,IF($Y$21*$AD$21&gt;=$K$1,0,IF($Y$21*$AD$21&gt;=$J$1,0,0)),0))*$B22*$D22*$E22^(Y$2-1),1),0)</f>
        <v>0</v>
      </c>
      <c r="Z22" s="47">
        <f>IF(CEILING($B22*$D22/3,1)&gt;=Z$2,CEILING($F$1*IF($Y$21*$AD$21&gt;=$I$1,1,IF($Y$21*$AD$21&gt;=$H$1,0.5,0))*(1+IF($N$21=$D$1,IF($Y$21*$AD$21&gt;=$K$1,0,IF($Y$21*$AD$21&gt;=$J$1,0,0)),0))*$B22*$D22*$E22^(Z$2-1),1),0)</f>
        <v>0</v>
      </c>
      <c r="AA22" s="47">
        <f>IF(CEILING($B22*$D22/3,1)&gt;=AA$2,CEILING($F$1*IF($Y$21*$AD$21&gt;=$I$1,1,IF($Y$21*$AD$21&gt;=$H$1,0.5,0))*(1+IF($N$21=$D$1,IF($Y$21*$AD$21&gt;=$K$1,0,IF($Y$21*$AD$21&gt;=$J$1,0,0)),0))*$B22*$D22*$E22^(AA$2-1),1),0)</f>
        <v>0</v>
      </c>
      <c r="AB22" s="47">
        <f>IF(CEILING($B22*$D22/3,1)&gt;=AB$2,CEILING($F$1*IF($Y$21*$AD$21&gt;=$I$1,1,IF($Y$21*$AD$21&gt;=$H$1,0.5,0))*(1+IF($N$21=$D$1,IF($Y$21*$AD$21&gt;=$K$1,0,IF($Y$21*$AD$21&gt;=$J$1,0,0)),0))*$B22*$D22*$E22^(AB$2-1),1),0)</f>
        <v>0</v>
      </c>
      <c r="AC22" s="47">
        <f>IF(CEILING($B22*$D22/3,1)&gt;=AC$2,CEILING($F$1*IF($Y$21*$AD$21&gt;=$I$1,1,IF($Y$21*$AD$21&gt;=$H$1,0.5,0))*(1+IF($N$21=$D$1,IF($Y$21*$AD$21&gt;=$K$1,0,IF($Y$21*$AD$21&gt;=$J$1,0,0)),0))*$B22*$D22*$E22^(AC$2-1),1),0)</f>
        <v>0</v>
      </c>
      <c r="AD22" s="47">
        <f>IF(CEILING($B22*$D22/3,1)&gt;=AD$2,CEILING($F$1*IF($Y$21*$AD$21&gt;=$I$1,1,IF($Y$21*$AD$21&gt;=$H$1,0.5,0))*(1+IF($N$21=$D$1,IF($Y$21*$AD$21&gt;=$K$1,0,IF($Y$21*$AD$21&gt;=$J$1,0,0)),0))*$B22*$D22*$E22^(AD$2-1),1),0)</f>
        <v>0</v>
      </c>
      <c r="AE22" s="47">
        <f>IF(CEILING($B22*$D22/3,1)&gt;=AE$2,CEILING($F$1*IF($Y$21*$AD$21&gt;=$I$1,1,IF($Y$21*$AD$21&gt;=$H$1,0.5,0))*(1+IF($N$21=$D$1,IF($Y$21*$AD$21&gt;=$K$1,0,IF($Y$21*$AD$21&gt;=$J$1,0,0)),0))*$B22*$D22*$E22^(AE$2-1),1),0)</f>
        <v>0</v>
      </c>
      <c r="AF22" s="47">
        <f>IF(CEILING($B22*$D22/3,1)&gt;=AF$2,CEILING($F$1*IF($Y$21*$AD$21&gt;=$I$1,1,IF($Y$21*$AD$21&gt;=$H$1,0.5,0))*(1+IF($N$21=$D$1,IF($Y$21*$AD$21&gt;=$K$1,0,IF($Y$21*$AD$21&gt;=$J$1,0,0)),0))*$B22*$D22*$E22^(AF$2-1),1),0)</f>
        <v>0</v>
      </c>
      <c r="AG22" s="47">
        <f>IF(CEILING($B22*$D22/3,1)&gt;=AG$2,CEILING($F$1*IF($Y$21*$AD$21&gt;=$I$1,1,IF($Y$21*$AD$21&gt;=$H$1,0.5,0))*(1+IF($N$21=$D$1,IF($Y$21*$AD$21&gt;=$K$1,0,IF($Y$21*$AD$21&gt;=$J$1,0,0)),0))*$B22*$D22*$E22^(AG$2-1),1),0)</f>
        <v>0</v>
      </c>
      <c r="AH22" s="47">
        <f>IF(CEILING($B22*$D22/3,1)&gt;=AH$2,CEILING($F$1*IF($Y$21*$AD$21&gt;=$I$1,1,IF($Y$21*$AD$21&gt;=$H$1,0.5,0))*(1+IF($N$21=$D$1,IF($Y$21*$AD$21&gt;=$K$1,0,IF($Y$21*$AD$21&gt;=$J$1,0,0)),0))*$B22*$D22*$E22^(AH$2-1),1),0)</f>
        <v>0</v>
      </c>
      <c r="AI22" s="48">
        <f>IF(CEILING($B22*$D22/3,1)&gt;=AI$2,CEILING($F$1*IF($Y$21*$AD$21&gt;=$I$1,1,IF($Y$21*$AD$21&gt;=$H$1,0.5,0))*(1+IF($N$21=$D$1,IF($Y$21*$AD$21&gt;=$K$1,0,IF($Y$21*$AD$21&gt;=$J$1,0,0)),0))*$B22*$D22*$E22^(AI$2-1),1),0)</f>
        <v>0</v>
      </c>
    </row>
    <row r="23" spans="1:35" x14ac:dyDescent="0.25">
      <c r="A23" s="58">
        <v>2</v>
      </c>
      <c r="B23" s="60">
        <v>1.1000000000000001</v>
      </c>
      <c r="C23" s="16">
        <v>0</v>
      </c>
      <c r="D23" s="67">
        <f>CEILING(1+MIN(T$21-C23-1,$L$1)+(T$21-C23-1-MIN(T$21-C23-1,$L$1))/$M$1,1)</f>
        <v>10</v>
      </c>
      <c r="E23" s="63">
        <f>MAX(($G$1/($F$1*D23))^(1/(ROUNDUP(D23/3,)-1)),2/3)</f>
        <v>0.66666666666666663</v>
      </c>
      <c r="F23" s="47">
        <f>IF(CEILING($B23*$D23/3,1)&gt;=F$2,CEILING($F$1*IF($Y$21*$AD$21&gt;=$I$1,1,IF($Y$21*$AD$21&gt;=$H$1,0.5,0))*(1+IF($N$21=$D$1,IF($Y$21*$AD$21&gt;=$K$1,0,IF($Y$21*$AD$21&gt;=$J$1,0,0)),0))*$B23*$D23*$E23^(F$2-1),1),0)</f>
        <v>22</v>
      </c>
      <c r="G23" s="47">
        <f>IF(CEILING($B23*$D23/3,1)&gt;=G$2,CEILING($F$1*IF($Y$21*$AD$21&gt;=$I$1,1,IF($Y$21*$AD$21&gt;=$H$1,0.5,0))*(1+IF($N$21=$D$1,IF($Y$21*$AD$21&gt;=$K$1,0,IF($Y$21*$AD$21&gt;=$J$1,0,0)),0))*$B23*$D23*$E23^(G$2-1),1),0)</f>
        <v>15</v>
      </c>
      <c r="H23" s="47">
        <f>IF(CEILING($B23*$D23/3,1)&gt;=H$2,CEILING($F$1*IF($Y$21*$AD$21&gt;=$I$1,1,IF($Y$21*$AD$21&gt;=$H$1,0.5,0))*(1+IF($N$21=$D$1,IF($Y$21*$AD$21&gt;=$K$1,0,IF($Y$21*$AD$21&gt;=$J$1,0,0)),0))*$B23*$D23*$E23^(H$2-1),1),0)</f>
        <v>10</v>
      </c>
      <c r="I23" s="47">
        <f>IF(CEILING($B23*$D23/3,1)&gt;=I$2,CEILING($F$1*IF($Y$21*$AD$21&gt;=$I$1,1,IF($Y$21*$AD$21&gt;=$H$1,0.5,0))*(1+IF($N$21=$D$1,IF($Y$21*$AD$21&gt;=$K$1,0,IF($Y$21*$AD$21&gt;=$J$1,0,0)),0))*$B23*$D23*$E23^(I$2-1),1),0)</f>
        <v>7</v>
      </c>
      <c r="J23" s="47">
        <f>IF(CEILING($B23*$D23/3,1)&gt;=J$2,CEILING($F$1*IF($Y$21*$AD$21&gt;=$I$1,1,IF($Y$21*$AD$21&gt;=$H$1,0.5,0))*(1+IF($N$21=$D$1,IF($Y$21*$AD$21&gt;=$K$1,0,IF($Y$21*$AD$21&gt;=$J$1,0,0)),0))*$B23*$D23*$E23^(J$2-1),1),0)</f>
        <v>0</v>
      </c>
      <c r="K23" s="47">
        <f>IF(CEILING($B23*$D23/3,1)&gt;=K$2,CEILING($F$1*IF($Y$21*$AD$21&gt;=$I$1,1,IF($Y$21*$AD$21&gt;=$H$1,0.5,0))*(1+IF($N$21=$D$1,IF($Y$21*$AD$21&gt;=$K$1,0,IF($Y$21*$AD$21&gt;=$J$1,0,0)),0))*$B23*$D23*$E23^(K$2-1),1),0)</f>
        <v>0</v>
      </c>
      <c r="L23" s="47">
        <f>IF(CEILING($B23*$D23/3,1)&gt;=L$2,CEILING($F$1*IF($Y$21*$AD$21&gt;=$I$1,1,IF($Y$21*$AD$21&gt;=$H$1,0.5,0))*(1+IF($N$21=$D$1,IF($Y$21*$AD$21&gt;=$K$1,0,IF($Y$21*$AD$21&gt;=$J$1,0,0)),0))*$B23*$D23*$E23^(L$2-1),1),0)</f>
        <v>0</v>
      </c>
      <c r="M23" s="47">
        <f>IF(CEILING($B23*$D23/3,1)&gt;=M$2,CEILING($F$1*IF($Y$21*$AD$21&gt;=$I$1,1,IF($Y$21*$AD$21&gt;=$H$1,0.5,0))*(1+IF($N$21=$D$1,IF($Y$21*$AD$21&gt;=$K$1,0,IF($Y$21*$AD$21&gt;=$J$1,0,0)),0))*$B23*$D23*$E23^(M$2-1),1),0)</f>
        <v>0</v>
      </c>
      <c r="N23" s="47">
        <f>IF(CEILING($B23*$D23/3,1)&gt;=N$2,CEILING($F$1*IF($Y$21*$AD$21&gt;=$I$1,1,IF($Y$21*$AD$21&gt;=$H$1,0.5,0))*(1+IF($N$21=$D$1,IF($Y$21*$AD$21&gt;=$K$1,0,IF($Y$21*$AD$21&gt;=$J$1,0,0)),0))*$B23*$D23*$E23^(N$2-1),1),0)</f>
        <v>0</v>
      </c>
      <c r="O23" s="47">
        <f>IF(CEILING($B23*$D23/3,1)&gt;=O$2,CEILING($F$1*IF($Y$21*$AD$21&gt;=$I$1,1,IF($Y$21*$AD$21&gt;=$H$1,0.5,0))*(1+IF($N$21=$D$1,IF($Y$21*$AD$21&gt;=$K$1,0,IF($Y$21*$AD$21&gt;=$J$1,0,0)),0))*$B23*$D23*$E23^(O$2-1),1),0)</f>
        <v>0</v>
      </c>
      <c r="P23" s="47">
        <f>IF(CEILING($B23*$D23/3,1)&gt;=P$2,CEILING($F$1*IF($Y$21*$AD$21&gt;=$I$1,1,IF($Y$21*$AD$21&gt;=$H$1,0.5,0))*(1+IF($N$21=$D$1,IF($Y$21*$AD$21&gt;=$K$1,0,IF($Y$21*$AD$21&gt;=$J$1,0,0)),0))*$B23*$D23*$E23^(P$2-1),1),0)</f>
        <v>0</v>
      </c>
      <c r="Q23" s="47">
        <f>IF(CEILING($B23*$D23/3,1)&gt;=Q$2,CEILING($F$1*IF($Y$21*$AD$21&gt;=$I$1,1,IF($Y$21*$AD$21&gt;=$H$1,0.5,0))*(1+IF($N$21=$D$1,IF($Y$21*$AD$21&gt;=$K$1,0,IF($Y$21*$AD$21&gt;=$J$1,0,0)),0))*$B23*$D23*$E23^(Q$2-1),1),0)</f>
        <v>0</v>
      </c>
      <c r="R23" s="47">
        <f>IF(CEILING($B23*$D23/3,1)&gt;=R$2,CEILING($F$1*IF($Y$21*$AD$21&gt;=$I$1,1,IF($Y$21*$AD$21&gt;=$H$1,0.5,0))*(1+IF($N$21=$D$1,IF($Y$21*$AD$21&gt;=$K$1,0,IF($Y$21*$AD$21&gt;=$J$1,0,0)),0))*$B23*$D23*$E23^(R$2-1),1),0)</f>
        <v>0</v>
      </c>
      <c r="S23" s="47">
        <f>IF(CEILING($B23*$D23/3,1)&gt;=S$2,CEILING($F$1*IF($Y$21*$AD$21&gt;=$I$1,1,IF($Y$21*$AD$21&gt;=$H$1,0.5,0))*(1+IF($N$21=$D$1,IF($Y$21*$AD$21&gt;=$K$1,0,IF($Y$21*$AD$21&gt;=$J$1,0,0)),0))*$B23*$D23*$E23^(S$2-1),1),0)</f>
        <v>0</v>
      </c>
      <c r="T23" s="47">
        <f>IF(CEILING($B23*$D23/3,1)&gt;=T$2,CEILING($F$1*IF($Y$21*$AD$21&gt;=$I$1,1,IF($Y$21*$AD$21&gt;=$H$1,0.5,0))*(1+IF($N$21=$D$1,IF($Y$21*$AD$21&gt;=$K$1,0,IF($Y$21*$AD$21&gt;=$J$1,0,0)),0))*$B23*$D23*$E23^(T$2-1),1),0)</f>
        <v>0</v>
      </c>
      <c r="U23" s="47">
        <f>IF(CEILING($B23*$D23/3,1)&gt;=U$2,CEILING($F$1*IF($Y$21*$AD$21&gt;=$I$1,1,IF($Y$21*$AD$21&gt;=$H$1,0.5,0))*(1+IF($N$21=$D$1,IF($Y$21*$AD$21&gt;=$K$1,0,IF($Y$21*$AD$21&gt;=$J$1,0,0)),0))*$B23*$D23*$E23^(U$2-1),1),0)</f>
        <v>0</v>
      </c>
      <c r="V23" s="47">
        <f>IF(CEILING($B23*$D23/3,1)&gt;=V$2,CEILING($F$1*IF($Y$21*$AD$21&gt;=$I$1,1,IF($Y$21*$AD$21&gt;=$H$1,0.5,0))*(1+IF($N$21=$D$1,IF($Y$21*$AD$21&gt;=$K$1,0,IF($Y$21*$AD$21&gt;=$J$1,0,0)),0))*$B23*$D23*$E23^(V$2-1),1),0)</f>
        <v>0</v>
      </c>
      <c r="W23" s="47">
        <f>IF(CEILING($B23*$D23/3,1)&gt;=W$2,CEILING($F$1*IF($Y$21*$AD$21&gt;=$I$1,1,IF($Y$21*$AD$21&gt;=$H$1,0.5,0))*(1+IF($N$21=$D$1,IF($Y$21*$AD$21&gt;=$K$1,0,IF($Y$21*$AD$21&gt;=$J$1,0,0)),0))*$B23*$D23*$E23^(W$2-1),1),0)</f>
        <v>0</v>
      </c>
      <c r="X23" s="47">
        <f>IF(CEILING($B23*$D23/3,1)&gt;=X$2,CEILING($F$1*IF($Y$21*$AD$21&gt;=$I$1,1,IF($Y$21*$AD$21&gt;=$H$1,0.5,0))*(1+IF($N$21=$D$1,IF($Y$21*$AD$21&gt;=$K$1,0,IF($Y$21*$AD$21&gt;=$J$1,0,0)),0))*$B23*$D23*$E23^(X$2-1),1),0)</f>
        <v>0</v>
      </c>
      <c r="Y23" s="47">
        <f>IF(CEILING($B23*$D23/3,1)&gt;=Y$2,CEILING($F$1*IF($Y$21*$AD$21&gt;=$I$1,1,IF($Y$21*$AD$21&gt;=$H$1,0.5,0))*(1+IF($N$21=$D$1,IF($Y$21*$AD$21&gt;=$K$1,0,IF($Y$21*$AD$21&gt;=$J$1,0,0)),0))*$B23*$D23*$E23^(Y$2-1),1),0)</f>
        <v>0</v>
      </c>
      <c r="Z23" s="47">
        <f>IF(CEILING($B23*$D23/3,1)&gt;=Z$2,CEILING($F$1*IF($Y$21*$AD$21&gt;=$I$1,1,IF($Y$21*$AD$21&gt;=$H$1,0.5,0))*(1+IF($N$21=$D$1,IF($Y$21*$AD$21&gt;=$K$1,0,IF($Y$21*$AD$21&gt;=$J$1,0,0)),0))*$B23*$D23*$E23^(Z$2-1),1),0)</f>
        <v>0</v>
      </c>
      <c r="AA23" s="47">
        <f>IF(CEILING($B23*$D23/3,1)&gt;=AA$2,CEILING($F$1*IF($Y$21*$AD$21&gt;=$I$1,1,IF($Y$21*$AD$21&gt;=$H$1,0.5,0))*(1+IF($N$21=$D$1,IF($Y$21*$AD$21&gt;=$K$1,0,IF($Y$21*$AD$21&gt;=$J$1,0,0)),0))*$B23*$D23*$E23^(AA$2-1),1),0)</f>
        <v>0</v>
      </c>
      <c r="AB23" s="47">
        <f>IF(CEILING($B23*$D23/3,1)&gt;=AB$2,CEILING($F$1*IF($Y$21*$AD$21&gt;=$I$1,1,IF($Y$21*$AD$21&gt;=$H$1,0.5,0))*(1+IF($N$21=$D$1,IF($Y$21*$AD$21&gt;=$K$1,0,IF($Y$21*$AD$21&gt;=$J$1,0,0)),0))*$B23*$D23*$E23^(AB$2-1),1),0)</f>
        <v>0</v>
      </c>
      <c r="AC23" s="47">
        <f>IF(CEILING($B23*$D23/3,1)&gt;=AC$2,CEILING($F$1*IF($Y$21*$AD$21&gt;=$I$1,1,IF($Y$21*$AD$21&gt;=$H$1,0.5,0))*(1+IF($N$21=$D$1,IF($Y$21*$AD$21&gt;=$K$1,0,IF($Y$21*$AD$21&gt;=$J$1,0,0)),0))*$B23*$D23*$E23^(AC$2-1),1),0)</f>
        <v>0</v>
      </c>
      <c r="AD23" s="47">
        <f>IF(CEILING($B23*$D23/3,1)&gt;=AD$2,CEILING($F$1*IF($Y$21*$AD$21&gt;=$I$1,1,IF($Y$21*$AD$21&gt;=$H$1,0.5,0))*(1+IF($N$21=$D$1,IF($Y$21*$AD$21&gt;=$K$1,0,IF($Y$21*$AD$21&gt;=$J$1,0,0)),0))*$B23*$D23*$E23^(AD$2-1),1),0)</f>
        <v>0</v>
      </c>
      <c r="AE23" s="47">
        <f>IF(CEILING($B23*$D23/3,1)&gt;=AE$2,CEILING($F$1*IF($Y$21*$AD$21&gt;=$I$1,1,IF($Y$21*$AD$21&gt;=$H$1,0.5,0))*(1+IF($N$21=$D$1,IF($Y$21*$AD$21&gt;=$K$1,0,IF($Y$21*$AD$21&gt;=$J$1,0,0)),0))*$B23*$D23*$E23^(AE$2-1),1),0)</f>
        <v>0</v>
      </c>
      <c r="AF23" s="47">
        <f>IF(CEILING($B23*$D23/3,1)&gt;=AF$2,CEILING($F$1*IF($Y$21*$AD$21&gt;=$I$1,1,IF($Y$21*$AD$21&gt;=$H$1,0.5,0))*(1+IF($N$21=$D$1,IF($Y$21*$AD$21&gt;=$K$1,0,IF($Y$21*$AD$21&gt;=$J$1,0,0)),0))*$B23*$D23*$E23^(AF$2-1),1),0)</f>
        <v>0</v>
      </c>
      <c r="AG23" s="47">
        <f>IF(CEILING($B23*$D23/3,1)&gt;=AG$2,CEILING($F$1*IF($Y$21*$AD$21&gt;=$I$1,1,IF($Y$21*$AD$21&gt;=$H$1,0.5,0))*(1+IF($N$21=$D$1,IF($Y$21*$AD$21&gt;=$K$1,0,IF($Y$21*$AD$21&gt;=$J$1,0,0)),0))*$B23*$D23*$E23^(AG$2-1),1),0)</f>
        <v>0</v>
      </c>
      <c r="AH23" s="47">
        <f>IF(CEILING($B23*$D23/3,1)&gt;=AH$2,CEILING($F$1*IF($Y$21*$AD$21&gt;=$I$1,1,IF($Y$21*$AD$21&gt;=$H$1,0.5,0))*(1+IF($N$21=$D$1,IF($Y$21*$AD$21&gt;=$K$1,0,IF($Y$21*$AD$21&gt;=$J$1,0,0)),0))*$B23*$D23*$E23^(AH$2-1),1),0)</f>
        <v>0</v>
      </c>
      <c r="AI23" s="48">
        <f>IF(CEILING($B23*$D23/3,1)&gt;=AI$2,CEILING($F$1*IF($Y$21*$AD$21&gt;=$I$1,1,IF($Y$21*$AD$21&gt;=$H$1,0.5,0))*(1+IF($N$21=$D$1,IF($Y$21*$AD$21&gt;=$K$1,0,IF($Y$21*$AD$21&gt;=$J$1,0,0)),0))*$B23*$D23*$E23^(AI$2-1),1),0)</f>
        <v>0</v>
      </c>
    </row>
    <row r="24" spans="1:35" x14ac:dyDescent="0.25">
      <c r="A24" s="58">
        <v>3</v>
      </c>
      <c r="B24" s="60">
        <v>1</v>
      </c>
      <c r="C24" s="16">
        <v>0</v>
      </c>
      <c r="D24" s="67">
        <f>CEILING(1+MIN(T$21-C24-1,$L$1)+(T$21-C24-1-MIN(T$21-C24-1,$L$1))/$M$1,1)</f>
        <v>10</v>
      </c>
      <c r="E24" s="63">
        <f>MAX(($G$1/($F$1*D24))^(1/(ROUNDUP(D24/3,)-1)),2/3)</f>
        <v>0.66666666666666663</v>
      </c>
      <c r="F24" s="47">
        <f>IF(CEILING($B24*$D24/3,1)&gt;=F$2,CEILING($F$1*IF($Y$21*$AD$21&gt;=$I$1,1,IF($Y$21*$AD$21&gt;=$H$1,0.5,0))*(1+IF($N$21=$D$1,IF($Y$21*$AD$21&gt;=$K$1,0,IF($Y$21*$AD$21&gt;=$J$1,0,0)),0))*$B24*$D24*$E24^(F$2-1),1),0)</f>
        <v>20</v>
      </c>
      <c r="G24" s="47">
        <f>IF(CEILING($B24*$D24/3,1)&gt;=G$2,CEILING($F$1*IF($Y$21*$AD$21&gt;=$I$1,1,IF($Y$21*$AD$21&gt;=$H$1,0.5,0))*(1+IF($N$21=$D$1,IF($Y$21*$AD$21&gt;=$K$1,0,IF($Y$21*$AD$21&gt;=$J$1,0,0)),0))*$B24*$D24*$E24^(G$2-1),1),0)</f>
        <v>14</v>
      </c>
      <c r="H24" s="47">
        <f>IF(CEILING($B24*$D24/3,1)&gt;=H$2,CEILING($F$1*IF($Y$21*$AD$21&gt;=$I$1,1,IF($Y$21*$AD$21&gt;=$H$1,0.5,0))*(1+IF($N$21=$D$1,IF($Y$21*$AD$21&gt;=$K$1,0,IF($Y$21*$AD$21&gt;=$J$1,0,0)),0))*$B24*$D24*$E24^(H$2-1),1),0)</f>
        <v>9</v>
      </c>
      <c r="I24" s="47">
        <f>IF(CEILING($B24*$D24/3,1)&gt;=I$2,CEILING($F$1*IF($Y$21*$AD$21&gt;=$I$1,1,IF($Y$21*$AD$21&gt;=$H$1,0.5,0))*(1+IF($N$21=$D$1,IF($Y$21*$AD$21&gt;=$K$1,0,IF($Y$21*$AD$21&gt;=$J$1,0,0)),0))*$B24*$D24*$E24^(I$2-1),1),0)</f>
        <v>6</v>
      </c>
      <c r="J24" s="47">
        <f>IF(CEILING($B24*$D24/3,1)&gt;=J$2,CEILING($F$1*IF($Y$21*$AD$21&gt;=$I$1,1,IF($Y$21*$AD$21&gt;=$H$1,0.5,0))*(1+IF($N$21=$D$1,IF($Y$21*$AD$21&gt;=$K$1,0,IF($Y$21*$AD$21&gt;=$J$1,0,0)),0))*$B24*$D24*$E24^(J$2-1),1),0)</f>
        <v>0</v>
      </c>
      <c r="K24" s="47">
        <f>IF(CEILING($B24*$D24/3,1)&gt;=K$2,CEILING($F$1*IF($Y$21*$AD$21&gt;=$I$1,1,IF($Y$21*$AD$21&gt;=$H$1,0.5,0))*(1+IF($N$21=$D$1,IF($Y$21*$AD$21&gt;=$K$1,0,IF($Y$21*$AD$21&gt;=$J$1,0,0)),0))*$B24*$D24*$E24^(K$2-1),1),0)</f>
        <v>0</v>
      </c>
      <c r="L24" s="47">
        <f>IF(CEILING($B24*$D24/3,1)&gt;=L$2,CEILING($F$1*IF($Y$21*$AD$21&gt;=$I$1,1,IF($Y$21*$AD$21&gt;=$H$1,0.5,0))*(1+IF($N$21=$D$1,IF($Y$21*$AD$21&gt;=$K$1,0,IF($Y$21*$AD$21&gt;=$J$1,0,0)),0))*$B24*$D24*$E24^(L$2-1),1),0)</f>
        <v>0</v>
      </c>
      <c r="M24" s="47">
        <f>IF(CEILING($B24*$D24/3,1)&gt;=M$2,CEILING($F$1*IF($Y$21*$AD$21&gt;=$I$1,1,IF($Y$21*$AD$21&gt;=$H$1,0.5,0))*(1+IF($N$21=$D$1,IF($Y$21*$AD$21&gt;=$K$1,0,IF($Y$21*$AD$21&gt;=$J$1,0,0)),0))*$B24*$D24*$E24^(M$2-1),1),0)</f>
        <v>0</v>
      </c>
      <c r="N24" s="47">
        <f>IF(CEILING($B24*$D24/3,1)&gt;=N$2,CEILING($F$1*IF($Y$21*$AD$21&gt;=$I$1,1,IF($Y$21*$AD$21&gt;=$H$1,0.5,0))*(1+IF($N$21=$D$1,IF($Y$21*$AD$21&gt;=$K$1,0,IF($Y$21*$AD$21&gt;=$J$1,0,0)),0))*$B24*$D24*$E24^(N$2-1),1),0)</f>
        <v>0</v>
      </c>
      <c r="O24" s="47">
        <f>IF(CEILING($B24*$D24/3,1)&gt;=O$2,CEILING($F$1*IF($Y$21*$AD$21&gt;=$I$1,1,IF($Y$21*$AD$21&gt;=$H$1,0.5,0))*(1+IF($N$21=$D$1,IF($Y$21*$AD$21&gt;=$K$1,0,IF($Y$21*$AD$21&gt;=$J$1,0,0)),0))*$B24*$D24*$E24^(O$2-1),1),0)</f>
        <v>0</v>
      </c>
      <c r="P24" s="47">
        <f>IF(CEILING($B24*$D24/3,1)&gt;=P$2,CEILING($F$1*IF($Y$21*$AD$21&gt;=$I$1,1,IF($Y$21*$AD$21&gt;=$H$1,0.5,0))*(1+IF($N$21=$D$1,IF($Y$21*$AD$21&gt;=$K$1,0,IF($Y$21*$AD$21&gt;=$J$1,0,0)),0))*$B24*$D24*$E24^(P$2-1),1),0)</f>
        <v>0</v>
      </c>
      <c r="Q24" s="47">
        <f>IF(CEILING($B24*$D24/3,1)&gt;=Q$2,CEILING($F$1*IF($Y$21*$AD$21&gt;=$I$1,1,IF($Y$21*$AD$21&gt;=$H$1,0.5,0))*(1+IF($N$21=$D$1,IF($Y$21*$AD$21&gt;=$K$1,0,IF($Y$21*$AD$21&gt;=$J$1,0,0)),0))*$B24*$D24*$E24^(Q$2-1),1),0)</f>
        <v>0</v>
      </c>
      <c r="R24" s="47">
        <f>IF(CEILING($B24*$D24/3,1)&gt;=R$2,CEILING($F$1*IF($Y$21*$AD$21&gt;=$I$1,1,IF($Y$21*$AD$21&gt;=$H$1,0.5,0))*(1+IF($N$21=$D$1,IF($Y$21*$AD$21&gt;=$K$1,0,IF($Y$21*$AD$21&gt;=$J$1,0,0)),0))*$B24*$D24*$E24^(R$2-1),1),0)</f>
        <v>0</v>
      </c>
      <c r="S24" s="47">
        <f>IF(CEILING($B24*$D24/3,1)&gt;=S$2,CEILING($F$1*IF($Y$21*$AD$21&gt;=$I$1,1,IF($Y$21*$AD$21&gt;=$H$1,0.5,0))*(1+IF($N$21=$D$1,IF($Y$21*$AD$21&gt;=$K$1,0,IF($Y$21*$AD$21&gt;=$J$1,0,0)),0))*$B24*$D24*$E24^(S$2-1),1),0)</f>
        <v>0</v>
      </c>
      <c r="T24" s="47">
        <f>IF(CEILING($B24*$D24/3,1)&gt;=T$2,CEILING($F$1*IF($Y$21*$AD$21&gt;=$I$1,1,IF($Y$21*$AD$21&gt;=$H$1,0.5,0))*(1+IF($N$21=$D$1,IF($Y$21*$AD$21&gt;=$K$1,0,IF($Y$21*$AD$21&gt;=$J$1,0,0)),0))*$B24*$D24*$E24^(T$2-1),1),0)</f>
        <v>0</v>
      </c>
      <c r="U24" s="47">
        <f>IF(CEILING($B24*$D24/3,1)&gt;=U$2,CEILING($F$1*IF($Y$21*$AD$21&gt;=$I$1,1,IF($Y$21*$AD$21&gt;=$H$1,0.5,0))*(1+IF($N$21=$D$1,IF($Y$21*$AD$21&gt;=$K$1,0,IF($Y$21*$AD$21&gt;=$J$1,0,0)),0))*$B24*$D24*$E24^(U$2-1),1),0)</f>
        <v>0</v>
      </c>
      <c r="V24" s="47">
        <f>IF(CEILING($B24*$D24/3,1)&gt;=V$2,CEILING($F$1*IF($Y$21*$AD$21&gt;=$I$1,1,IF($Y$21*$AD$21&gt;=$H$1,0.5,0))*(1+IF($N$21=$D$1,IF($Y$21*$AD$21&gt;=$K$1,0,IF($Y$21*$AD$21&gt;=$J$1,0,0)),0))*$B24*$D24*$E24^(V$2-1),1),0)</f>
        <v>0</v>
      </c>
      <c r="W24" s="47">
        <f>IF(CEILING($B24*$D24/3,1)&gt;=W$2,CEILING($F$1*IF($Y$21*$AD$21&gt;=$I$1,1,IF($Y$21*$AD$21&gt;=$H$1,0.5,0))*(1+IF($N$21=$D$1,IF($Y$21*$AD$21&gt;=$K$1,0,IF($Y$21*$AD$21&gt;=$J$1,0,0)),0))*$B24*$D24*$E24^(W$2-1),1),0)</f>
        <v>0</v>
      </c>
      <c r="X24" s="47">
        <f>IF(CEILING($B24*$D24/3,1)&gt;=X$2,CEILING($F$1*IF($Y$21*$AD$21&gt;=$I$1,1,IF($Y$21*$AD$21&gt;=$H$1,0.5,0))*(1+IF($N$21=$D$1,IF($Y$21*$AD$21&gt;=$K$1,0,IF($Y$21*$AD$21&gt;=$J$1,0,0)),0))*$B24*$D24*$E24^(X$2-1),1),0)</f>
        <v>0</v>
      </c>
      <c r="Y24" s="47">
        <f>IF(CEILING($B24*$D24/3,1)&gt;=Y$2,CEILING($F$1*IF($Y$21*$AD$21&gt;=$I$1,1,IF($Y$21*$AD$21&gt;=$H$1,0.5,0))*(1+IF($N$21=$D$1,IF($Y$21*$AD$21&gt;=$K$1,0,IF($Y$21*$AD$21&gt;=$J$1,0,0)),0))*$B24*$D24*$E24^(Y$2-1),1),0)</f>
        <v>0</v>
      </c>
      <c r="Z24" s="47">
        <f>IF(CEILING($B24*$D24/3,1)&gt;=Z$2,CEILING($F$1*IF($Y$21*$AD$21&gt;=$I$1,1,IF($Y$21*$AD$21&gt;=$H$1,0.5,0))*(1+IF($N$21=$D$1,IF($Y$21*$AD$21&gt;=$K$1,0,IF($Y$21*$AD$21&gt;=$J$1,0,0)),0))*$B24*$D24*$E24^(Z$2-1),1),0)</f>
        <v>0</v>
      </c>
      <c r="AA24" s="47">
        <f>IF(CEILING($B24*$D24/3,1)&gt;=AA$2,CEILING($F$1*IF($Y$21*$AD$21&gt;=$I$1,1,IF($Y$21*$AD$21&gt;=$H$1,0.5,0))*(1+IF($N$21=$D$1,IF($Y$21*$AD$21&gt;=$K$1,0,IF($Y$21*$AD$21&gt;=$J$1,0,0)),0))*$B24*$D24*$E24^(AA$2-1),1),0)</f>
        <v>0</v>
      </c>
      <c r="AB24" s="47">
        <f>IF(CEILING($B24*$D24/3,1)&gt;=AB$2,CEILING($F$1*IF($Y$21*$AD$21&gt;=$I$1,1,IF($Y$21*$AD$21&gt;=$H$1,0.5,0))*(1+IF($N$21=$D$1,IF($Y$21*$AD$21&gt;=$K$1,0,IF($Y$21*$AD$21&gt;=$J$1,0,0)),0))*$B24*$D24*$E24^(AB$2-1),1),0)</f>
        <v>0</v>
      </c>
      <c r="AC24" s="47">
        <f>IF(CEILING($B24*$D24/3,1)&gt;=AC$2,CEILING($F$1*IF($Y$21*$AD$21&gt;=$I$1,1,IF($Y$21*$AD$21&gt;=$H$1,0.5,0))*(1+IF($N$21=$D$1,IF($Y$21*$AD$21&gt;=$K$1,0,IF($Y$21*$AD$21&gt;=$J$1,0,0)),0))*$B24*$D24*$E24^(AC$2-1),1),0)</f>
        <v>0</v>
      </c>
      <c r="AD24" s="47">
        <f>IF(CEILING($B24*$D24/3,1)&gt;=AD$2,CEILING($F$1*IF($Y$21*$AD$21&gt;=$I$1,1,IF($Y$21*$AD$21&gt;=$H$1,0.5,0))*(1+IF($N$21=$D$1,IF($Y$21*$AD$21&gt;=$K$1,0,IF($Y$21*$AD$21&gt;=$J$1,0,0)),0))*$B24*$D24*$E24^(AD$2-1),1),0)</f>
        <v>0</v>
      </c>
      <c r="AE24" s="47">
        <f>IF(CEILING($B24*$D24/3,1)&gt;=AE$2,CEILING($F$1*IF($Y$21*$AD$21&gt;=$I$1,1,IF($Y$21*$AD$21&gt;=$H$1,0.5,0))*(1+IF($N$21=$D$1,IF($Y$21*$AD$21&gt;=$K$1,0,IF($Y$21*$AD$21&gt;=$J$1,0,0)),0))*$B24*$D24*$E24^(AE$2-1),1),0)</f>
        <v>0</v>
      </c>
      <c r="AF24" s="47">
        <f>IF(CEILING($B24*$D24/3,1)&gt;=AF$2,CEILING($F$1*IF($Y$21*$AD$21&gt;=$I$1,1,IF($Y$21*$AD$21&gt;=$H$1,0.5,0))*(1+IF($N$21=$D$1,IF($Y$21*$AD$21&gt;=$K$1,0,IF($Y$21*$AD$21&gt;=$J$1,0,0)),0))*$B24*$D24*$E24^(AF$2-1),1),0)</f>
        <v>0</v>
      </c>
      <c r="AG24" s="47">
        <f>IF(CEILING($B24*$D24/3,1)&gt;=AG$2,CEILING($F$1*IF($Y$21*$AD$21&gt;=$I$1,1,IF($Y$21*$AD$21&gt;=$H$1,0.5,0))*(1+IF($N$21=$D$1,IF($Y$21*$AD$21&gt;=$K$1,0,IF($Y$21*$AD$21&gt;=$J$1,0,0)),0))*$B24*$D24*$E24^(AG$2-1),1),0)</f>
        <v>0</v>
      </c>
      <c r="AH24" s="47">
        <f>IF(CEILING($B24*$D24/3,1)&gt;=AH$2,CEILING($F$1*IF($Y$21*$AD$21&gt;=$I$1,1,IF($Y$21*$AD$21&gt;=$H$1,0.5,0))*(1+IF($N$21=$D$1,IF($Y$21*$AD$21&gt;=$K$1,0,IF($Y$21*$AD$21&gt;=$J$1,0,0)),0))*$B24*$D24*$E24^(AH$2-1),1),0)</f>
        <v>0</v>
      </c>
      <c r="AI24" s="48">
        <f>IF(CEILING($B24*$D24/3,1)&gt;=AI$2,CEILING($F$1*IF($Y$21*$AD$21&gt;=$I$1,1,IF($Y$21*$AD$21&gt;=$H$1,0.5,0))*(1+IF($N$21=$D$1,IF($Y$21*$AD$21&gt;=$K$1,0,IF($Y$21*$AD$21&gt;=$J$1,0,0)),0))*$B24*$D24*$E24^(AI$2-1),1),0)</f>
        <v>0</v>
      </c>
    </row>
    <row r="25" spans="1:35" x14ac:dyDescent="0.25">
      <c r="A25" s="58">
        <v>4</v>
      </c>
      <c r="B25" s="60">
        <v>0.9</v>
      </c>
      <c r="C25" s="16">
        <v>0</v>
      </c>
      <c r="D25" s="67">
        <f>CEILING(1+MIN(T$21-C25-1,$L$1)+(T$21-C25-1-MIN(T$21-C25-1,$L$1))/$M$1,1)</f>
        <v>10</v>
      </c>
      <c r="E25" s="63">
        <f>MAX(($G$1/($F$1*D25))^(1/(ROUNDUP(D25/3,)-1)),2/3)</f>
        <v>0.66666666666666663</v>
      </c>
      <c r="F25" s="47">
        <f>IF(CEILING($B25*$D25/3,1)&gt;=F$2,CEILING($F$1*IF($Y$21*$AD$21&gt;=$I$1,1,IF($Y$21*$AD$21&gt;=$H$1,0.5,0))*(1+IF($N$21=$D$1,IF($Y$21*$AD$21&gt;=$K$1,0,IF($Y$21*$AD$21&gt;=$J$1,0,0)),0))*$B25*$D25*$E25^(F$2-1),1),0)</f>
        <v>18</v>
      </c>
      <c r="G25" s="47">
        <f>IF(CEILING($B25*$D25/3,1)&gt;=G$2,CEILING($F$1*IF($Y$21*$AD$21&gt;=$I$1,1,IF($Y$21*$AD$21&gt;=$H$1,0.5,0))*(1+IF($N$21=$D$1,IF($Y$21*$AD$21&gt;=$K$1,0,IF($Y$21*$AD$21&gt;=$J$1,0,0)),0))*$B25*$D25*$E25^(G$2-1),1),0)</f>
        <v>12</v>
      </c>
      <c r="H25" s="47">
        <f>IF(CEILING($B25*$D25/3,1)&gt;=H$2,CEILING($F$1*IF($Y$21*$AD$21&gt;=$I$1,1,IF($Y$21*$AD$21&gt;=$H$1,0.5,0))*(1+IF($N$21=$D$1,IF($Y$21*$AD$21&gt;=$K$1,0,IF($Y$21*$AD$21&gt;=$J$1,0,0)),0))*$B25*$D25*$E25^(H$2-1),1),0)</f>
        <v>8</v>
      </c>
      <c r="I25" s="47">
        <f>IF(CEILING($B25*$D25/3,1)&gt;=I$2,CEILING($F$1*IF($Y$21*$AD$21&gt;=$I$1,1,IF($Y$21*$AD$21&gt;=$H$1,0.5,0))*(1+IF($N$21=$D$1,IF($Y$21*$AD$21&gt;=$K$1,0,IF($Y$21*$AD$21&gt;=$J$1,0,0)),0))*$B25*$D25*$E25^(I$2-1),1),0)</f>
        <v>0</v>
      </c>
      <c r="J25" s="47">
        <f>IF(CEILING($B25*$D25/3,1)&gt;=J$2,CEILING($F$1*IF($Y$21*$AD$21&gt;=$I$1,1,IF($Y$21*$AD$21&gt;=$H$1,0.5,0))*(1+IF($N$21=$D$1,IF($Y$21*$AD$21&gt;=$K$1,0,IF($Y$21*$AD$21&gt;=$J$1,0,0)),0))*$B25*$D25*$E25^(J$2-1),1),0)</f>
        <v>0</v>
      </c>
      <c r="K25" s="47">
        <f>IF(CEILING($B25*$D25/3,1)&gt;=K$2,CEILING($F$1*IF($Y$21*$AD$21&gt;=$I$1,1,IF($Y$21*$AD$21&gt;=$H$1,0.5,0))*(1+IF($N$21=$D$1,IF($Y$21*$AD$21&gt;=$K$1,0,IF($Y$21*$AD$21&gt;=$J$1,0,0)),0))*$B25*$D25*$E25^(K$2-1),1),0)</f>
        <v>0</v>
      </c>
      <c r="L25" s="47">
        <f>IF(CEILING($B25*$D25/3,1)&gt;=L$2,CEILING($F$1*IF($Y$21*$AD$21&gt;=$I$1,1,IF($Y$21*$AD$21&gt;=$H$1,0.5,0))*(1+IF($N$21=$D$1,IF($Y$21*$AD$21&gt;=$K$1,0,IF($Y$21*$AD$21&gt;=$J$1,0,0)),0))*$B25*$D25*$E25^(L$2-1),1),0)</f>
        <v>0</v>
      </c>
      <c r="M25" s="47">
        <f>IF(CEILING($B25*$D25/3,1)&gt;=M$2,CEILING($F$1*IF($Y$21*$AD$21&gt;=$I$1,1,IF($Y$21*$AD$21&gt;=$H$1,0.5,0))*(1+IF($N$21=$D$1,IF($Y$21*$AD$21&gt;=$K$1,0,IF($Y$21*$AD$21&gt;=$J$1,0,0)),0))*$B25*$D25*$E25^(M$2-1),1),0)</f>
        <v>0</v>
      </c>
      <c r="N25" s="47">
        <f>IF(CEILING($B25*$D25/3,1)&gt;=N$2,CEILING($F$1*IF($Y$21*$AD$21&gt;=$I$1,1,IF($Y$21*$AD$21&gt;=$H$1,0.5,0))*(1+IF($N$21=$D$1,IF($Y$21*$AD$21&gt;=$K$1,0,IF($Y$21*$AD$21&gt;=$J$1,0,0)),0))*$B25*$D25*$E25^(N$2-1),1),0)</f>
        <v>0</v>
      </c>
      <c r="O25" s="47">
        <f>IF(CEILING($B25*$D25/3,1)&gt;=O$2,CEILING($F$1*IF($Y$21*$AD$21&gt;=$I$1,1,IF($Y$21*$AD$21&gt;=$H$1,0.5,0))*(1+IF($N$21=$D$1,IF($Y$21*$AD$21&gt;=$K$1,0,IF($Y$21*$AD$21&gt;=$J$1,0,0)),0))*$B25*$D25*$E25^(O$2-1),1),0)</f>
        <v>0</v>
      </c>
      <c r="P25" s="47">
        <f>IF(CEILING($B25*$D25/3,1)&gt;=P$2,CEILING($F$1*IF($Y$21*$AD$21&gt;=$I$1,1,IF($Y$21*$AD$21&gt;=$H$1,0.5,0))*(1+IF($N$21=$D$1,IF($Y$21*$AD$21&gt;=$K$1,0,IF($Y$21*$AD$21&gt;=$J$1,0,0)),0))*$B25*$D25*$E25^(P$2-1),1),0)</f>
        <v>0</v>
      </c>
      <c r="Q25" s="47">
        <f>IF(CEILING($B25*$D25/3,1)&gt;=Q$2,CEILING($F$1*IF($Y$21*$AD$21&gt;=$I$1,1,IF($Y$21*$AD$21&gt;=$H$1,0.5,0))*(1+IF($N$21=$D$1,IF($Y$21*$AD$21&gt;=$K$1,0,IF($Y$21*$AD$21&gt;=$J$1,0,0)),0))*$B25*$D25*$E25^(Q$2-1),1),0)</f>
        <v>0</v>
      </c>
      <c r="R25" s="47">
        <f>IF(CEILING($B25*$D25/3,1)&gt;=R$2,CEILING($F$1*IF($Y$21*$AD$21&gt;=$I$1,1,IF($Y$21*$AD$21&gt;=$H$1,0.5,0))*(1+IF($N$21=$D$1,IF($Y$21*$AD$21&gt;=$K$1,0,IF($Y$21*$AD$21&gt;=$J$1,0,0)),0))*$B25*$D25*$E25^(R$2-1),1),0)</f>
        <v>0</v>
      </c>
      <c r="S25" s="47">
        <f>IF(CEILING($B25*$D25/3,1)&gt;=S$2,CEILING($F$1*IF($Y$21*$AD$21&gt;=$I$1,1,IF($Y$21*$AD$21&gt;=$H$1,0.5,0))*(1+IF($N$21=$D$1,IF($Y$21*$AD$21&gt;=$K$1,0,IF($Y$21*$AD$21&gt;=$J$1,0,0)),0))*$B25*$D25*$E25^(S$2-1),1),0)</f>
        <v>0</v>
      </c>
      <c r="T25" s="47">
        <f>IF(CEILING($B25*$D25/3,1)&gt;=T$2,CEILING($F$1*IF($Y$21*$AD$21&gt;=$I$1,1,IF($Y$21*$AD$21&gt;=$H$1,0.5,0))*(1+IF($N$21=$D$1,IF($Y$21*$AD$21&gt;=$K$1,0,IF($Y$21*$AD$21&gt;=$J$1,0,0)),0))*$B25*$D25*$E25^(T$2-1),1),0)</f>
        <v>0</v>
      </c>
      <c r="U25" s="47">
        <f>IF(CEILING($B25*$D25/3,1)&gt;=U$2,CEILING($F$1*IF($Y$21*$AD$21&gt;=$I$1,1,IF($Y$21*$AD$21&gt;=$H$1,0.5,0))*(1+IF($N$21=$D$1,IF($Y$21*$AD$21&gt;=$K$1,0,IF($Y$21*$AD$21&gt;=$J$1,0,0)),0))*$B25*$D25*$E25^(U$2-1),1),0)</f>
        <v>0</v>
      </c>
      <c r="V25" s="47">
        <f>IF(CEILING($B25*$D25/3,1)&gt;=V$2,CEILING($F$1*IF($Y$21*$AD$21&gt;=$I$1,1,IF($Y$21*$AD$21&gt;=$H$1,0.5,0))*(1+IF($N$21=$D$1,IF($Y$21*$AD$21&gt;=$K$1,0,IF($Y$21*$AD$21&gt;=$J$1,0,0)),0))*$B25*$D25*$E25^(V$2-1),1),0)</f>
        <v>0</v>
      </c>
      <c r="W25" s="47">
        <f>IF(CEILING($B25*$D25/3,1)&gt;=W$2,CEILING($F$1*IF($Y$21*$AD$21&gt;=$I$1,1,IF($Y$21*$AD$21&gt;=$H$1,0.5,0))*(1+IF($N$21=$D$1,IF($Y$21*$AD$21&gt;=$K$1,0,IF($Y$21*$AD$21&gt;=$J$1,0,0)),0))*$B25*$D25*$E25^(W$2-1),1),0)</f>
        <v>0</v>
      </c>
      <c r="X25" s="47">
        <f>IF(CEILING($B25*$D25/3,1)&gt;=X$2,CEILING($F$1*IF($Y$21*$AD$21&gt;=$I$1,1,IF($Y$21*$AD$21&gt;=$H$1,0.5,0))*(1+IF($N$21=$D$1,IF($Y$21*$AD$21&gt;=$K$1,0,IF($Y$21*$AD$21&gt;=$J$1,0,0)),0))*$B25*$D25*$E25^(X$2-1),1),0)</f>
        <v>0</v>
      </c>
      <c r="Y25" s="47">
        <f>IF(CEILING($B25*$D25/3,1)&gt;=Y$2,CEILING($F$1*IF($Y$21*$AD$21&gt;=$I$1,1,IF($Y$21*$AD$21&gt;=$H$1,0.5,0))*(1+IF($N$21=$D$1,IF($Y$21*$AD$21&gt;=$K$1,0,IF($Y$21*$AD$21&gt;=$J$1,0,0)),0))*$B25*$D25*$E25^(Y$2-1),1),0)</f>
        <v>0</v>
      </c>
      <c r="Z25" s="47">
        <f>IF(CEILING($B25*$D25/3,1)&gt;=Z$2,CEILING($F$1*IF($Y$21*$AD$21&gt;=$I$1,1,IF($Y$21*$AD$21&gt;=$H$1,0.5,0))*(1+IF($N$21=$D$1,IF($Y$21*$AD$21&gt;=$K$1,0,IF($Y$21*$AD$21&gt;=$J$1,0,0)),0))*$B25*$D25*$E25^(Z$2-1),1),0)</f>
        <v>0</v>
      </c>
      <c r="AA25" s="47">
        <f>IF(CEILING($B25*$D25/3,1)&gt;=AA$2,CEILING($F$1*IF($Y$21*$AD$21&gt;=$I$1,1,IF($Y$21*$AD$21&gt;=$H$1,0.5,0))*(1+IF($N$21=$D$1,IF($Y$21*$AD$21&gt;=$K$1,0,IF($Y$21*$AD$21&gt;=$J$1,0,0)),0))*$B25*$D25*$E25^(AA$2-1),1),0)</f>
        <v>0</v>
      </c>
      <c r="AB25" s="47">
        <f>IF(CEILING($B25*$D25/3,1)&gt;=AB$2,CEILING($F$1*IF($Y$21*$AD$21&gt;=$I$1,1,IF($Y$21*$AD$21&gt;=$H$1,0.5,0))*(1+IF($N$21=$D$1,IF($Y$21*$AD$21&gt;=$K$1,0,IF($Y$21*$AD$21&gt;=$J$1,0,0)),0))*$B25*$D25*$E25^(AB$2-1),1),0)</f>
        <v>0</v>
      </c>
      <c r="AC25" s="47">
        <f>IF(CEILING($B25*$D25/3,1)&gt;=AC$2,CEILING($F$1*IF($Y$21*$AD$21&gt;=$I$1,1,IF($Y$21*$AD$21&gt;=$H$1,0.5,0))*(1+IF($N$21=$D$1,IF($Y$21*$AD$21&gt;=$K$1,0,IF($Y$21*$AD$21&gt;=$J$1,0,0)),0))*$B25*$D25*$E25^(AC$2-1),1),0)</f>
        <v>0</v>
      </c>
      <c r="AD25" s="47">
        <f>IF(CEILING($B25*$D25/3,1)&gt;=AD$2,CEILING($F$1*IF($Y$21*$AD$21&gt;=$I$1,1,IF($Y$21*$AD$21&gt;=$H$1,0.5,0))*(1+IF($N$21=$D$1,IF($Y$21*$AD$21&gt;=$K$1,0,IF($Y$21*$AD$21&gt;=$J$1,0,0)),0))*$B25*$D25*$E25^(AD$2-1),1),0)</f>
        <v>0</v>
      </c>
      <c r="AE25" s="47">
        <f>IF(CEILING($B25*$D25/3,1)&gt;=AE$2,CEILING($F$1*IF($Y$21*$AD$21&gt;=$I$1,1,IF($Y$21*$AD$21&gt;=$H$1,0.5,0))*(1+IF($N$21=$D$1,IF($Y$21*$AD$21&gt;=$K$1,0,IF($Y$21*$AD$21&gt;=$J$1,0,0)),0))*$B25*$D25*$E25^(AE$2-1),1),0)</f>
        <v>0</v>
      </c>
      <c r="AF25" s="47">
        <f>IF(CEILING($B25*$D25/3,1)&gt;=AF$2,CEILING($F$1*IF($Y$21*$AD$21&gt;=$I$1,1,IF($Y$21*$AD$21&gt;=$H$1,0.5,0))*(1+IF($N$21=$D$1,IF($Y$21*$AD$21&gt;=$K$1,0,IF($Y$21*$AD$21&gt;=$J$1,0,0)),0))*$B25*$D25*$E25^(AF$2-1),1),0)</f>
        <v>0</v>
      </c>
      <c r="AG25" s="47">
        <f>IF(CEILING($B25*$D25/3,1)&gt;=AG$2,CEILING($F$1*IF($Y$21*$AD$21&gt;=$I$1,1,IF($Y$21*$AD$21&gt;=$H$1,0.5,0))*(1+IF($N$21=$D$1,IF($Y$21*$AD$21&gt;=$K$1,0,IF($Y$21*$AD$21&gt;=$J$1,0,0)),0))*$B25*$D25*$E25^(AG$2-1),1),0)</f>
        <v>0</v>
      </c>
      <c r="AH25" s="47">
        <f>IF(CEILING($B25*$D25/3,1)&gt;=AH$2,CEILING($F$1*IF($Y$21*$AD$21&gt;=$I$1,1,IF($Y$21*$AD$21&gt;=$H$1,0.5,0))*(1+IF($N$21=$D$1,IF($Y$21*$AD$21&gt;=$K$1,0,IF($Y$21*$AD$21&gt;=$J$1,0,0)),0))*$B25*$D25*$E25^(AH$2-1),1),0)</f>
        <v>0</v>
      </c>
      <c r="AI25" s="48">
        <f>IF(CEILING($B25*$D25/3,1)&gt;=AI$2,CEILING($F$1*IF($Y$21*$AD$21&gt;=$I$1,1,IF($Y$21*$AD$21&gt;=$H$1,0.5,0))*(1+IF($N$21=$D$1,IF($Y$21*$AD$21&gt;=$K$1,0,IF($Y$21*$AD$21&gt;=$J$1,0,0)),0))*$B25*$D25*$E25^(AI$2-1),1),0)</f>
        <v>0</v>
      </c>
    </row>
    <row r="26" spans="1:35" x14ac:dyDescent="0.25">
      <c r="A26" s="59">
        <v>5</v>
      </c>
      <c r="B26" s="61">
        <v>0.8</v>
      </c>
      <c r="C26" s="17">
        <v>0</v>
      </c>
      <c r="D26" s="69">
        <f>CEILING(1+MIN(T$21-C26-1,$L$1)+(T$21-C26-1-MIN(T$21-C26-1,$L$1))/$M$1,1)</f>
        <v>10</v>
      </c>
      <c r="E26" s="65">
        <f>MAX(($G$1/($F$1*D26))^(1/(ROUNDUP(D26/3,)-1)),2/3)</f>
        <v>0.66666666666666663</v>
      </c>
      <c r="F26" s="47">
        <f>IF(CEILING($B26*$D26/3,1)&gt;=F$2,CEILING($F$1*IF($Y$21*$AD$21&gt;=$I$1,1,IF($Y$21*$AD$21&gt;=$H$1,0.5,0))*(1+IF($N$21=$D$1,IF($Y$21*$AD$21&gt;=$K$1,0,IF($Y$21*$AD$21&gt;=$J$1,0,0)),0))*$B26*$D26*$E26^(F$2-1),1),0)</f>
        <v>16</v>
      </c>
      <c r="G26" s="47">
        <f>IF(CEILING($B26*$D26/3,1)&gt;=G$2,CEILING($F$1*IF($Y$21*$AD$21&gt;=$I$1,1,IF($Y$21*$AD$21&gt;=$H$1,0.5,0))*(1+IF($N$21=$D$1,IF($Y$21*$AD$21&gt;=$K$1,0,IF($Y$21*$AD$21&gt;=$J$1,0,0)),0))*$B26*$D26*$E26^(G$2-1),1),0)</f>
        <v>11</v>
      </c>
      <c r="H26" s="47">
        <f>IF(CEILING($B26*$D26/3,1)&gt;=H$2,CEILING($F$1*IF($Y$21*$AD$21&gt;=$I$1,1,IF($Y$21*$AD$21&gt;=$H$1,0.5,0))*(1+IF($N$21=$D$1,IF($Y$21*$AD$21&gt;=$K$1,0,IF($Y$21*$AD$21&gt;=$J$1,0,0)),0))*$B26*$D26*$E26^(H$2-1),1),0)</f>
        <v>8</v>
      </c>
      <c r="I26" s="47">
        <f>IF(CEILING($B26*$D26/3,1)&gt;=I$2,CEILING($F$1*IF($Y$21*$AD$21&gt;=$I$1,1,IF($Y$21*$AD$21&gt;=$H$1,0.5,0))*(1+IF($N$21=$D$1,IF($Y$21*$AD$21&gt;=$K$1,0,IF($Y$21*$AD$21&gt;=$J$1,0,0)),0))*$B26*$D26*$E26^(I$2-1),1),0)</f>
        <v>0</v>
      </c>
      <c r="J26" s="47">
        <f>IF(CEILING($B26*$D26/3,1)&gt;=J$2,CEILING($F$1*IF($Y$21*$AD$21&gt;=$I$1,1,IF($Y$21*$AD$21&gt;=$H$1,0.5,0))*(1+IF($N$21=$D$1,IF($Y$21*$AD$21&gt;=$K$1,0,IF($Y$21*$AD$21&gt;=$J$1,0,0)),0))*$B26*$D26*$E26^(J$2-1),1),0)</f>
        <v>0</v>
      </c>
      <c r="K26" s="47">
        <f>IF(CEILING($B26*$D26/3,1)&gt;=K$2,CEILING($F$1*IF($Y$21*$AD$21&gt;=$I$1,1,IF($Y$21*$AD$21&gt;=$H$1,0.5,0))*(1+IF($N$21=$D$1,IF($Y$21*$AD$21&gt;=$K$1,0,IF($Y$21*$AD$21&gt;=$J$1,0,0)),0))*$B26*$D26*$E26^(K$2-1),1),0)</f>
        <v>0</v>
      </c>
      <c r="L26" s="47">
        <f>IF(CEILING($B26*$D26/3,1)&gt;=L$2,CEILING($F$1*IF($Y$21*$AD$21&gt;=$I$1,1,IF($Y$21*$AD$21&gt;=$H$1,0.5,0))*(1+IF($N$21=$D$1,IF($Y$21*$AD$21&gt;=$K$1,0,IF($Y$21*$AD$21&gt;=$J$1,0,0)),0))*$B26*$D26*$E26^(L$2-1),1),0)</f>
        <v>0</v>
      </c>
      <c r="M26" s="47">
        <f>IF(CEILING($B26*$D26/3,1)&gt;=M$2,CEILING($F$1*IF($Y$21*$AD$21&gt;=$I$1,1,IF($Y$21*$AD$21&gt;=$H$1,0.5,0))*(1+IF($N$21=$D$1,IF($Y$21*$AD$21&gt;=$K$1,0,IF($Y$21*$AD$21&gt;=$J$1,0,0)),0))*$B26*$D26*$E26^(M$2-1),1),0)</f>
        <v>0</v>
      </c>
      <c r="N26" s="47">
        <f>IF(CEILING($B26*$D26/3,1)&gt;=N$2,CEILING($F$1*IF($Y$21*$AD$21&gt;=$I$1,1,IF($Y$21*$AD$21&gt;=$H$1,0.5,0))*(1+IF($N$21=$D$1,IF($Y$21*$AD$21&gt;=$K$1,0,IF($Y$21*$AD$21&gt;=$J$1,0,0)),0))*$B26*$D26*$E26^(N$2-1),1),0)</f>
        <v>0</v>
      </c>
      <c r="O26" s="47">
        <f>IF(CEILING($B26*$D26/3,1)&gt;=O$2,CEILING($F$1*IF($Y$21*$AD$21&gt;=$I$1,1,IF($Y$21*$AD$21&gt;=$H$1,0.5,0))*(1+IF($N$21=$D$1,IF($Y$21*$AD$21&gt;=$K$1,0,IF($Y$21*$AD$21&gt;=$J$1,0,0)),0))*$B26*$D26*$E26^(O$2-1),1),0)</f>
        <v>0</v>
      </c>
      <c r="P26" s="47">
        <f>IF(CEILING($B26*$D26/3,1)&gt;=P$2,CEILING($F$1*IF($Y$21*$AD$21&gt;=$I$1,1,IF($Y$21*$AD$21&gt;=$H$1,0.5,0))*(1+IF($N$21=$D$1,IF($Y$21*$AD$21&gt;=$K$1,0,IF($Y$21*$AD$21&gt;=$J$1,0,0)),0))*$B26*$D26*$E26^(P$2-1),1),0)</f>
        <v>0</v>
      </c>
      <c r="Q26" s="47">
        <f>IF(CEILING($B26*$D26/3,1)&gt;=Q$2,CEILING($F$1*IF($Y$21*$AD$21&gt;=$I$1,1,IF($Y$21*$AD$21&gt;=$H$1,0.5,0))*(1+IF($N$21=$D$1,IF($Y$21*$AD$21&gt;=$K$1,0,IF($Y$21*$AD$21&gt;=$J$1,0,0)),0))*$B26*$D26*$E26^(Q$2-1),1),0)</f>
        <v>0</v>
      </c>
      <c r="R26" s="47">
        <f>IF(CEILING($B26*$D26/3,1)&gt;=R$2,CEILING($F$1*IF($Y$21*$AD$21&gt;=$I$1,1,IF($Y$21*$AD$21&gt;=$H$1,0.5,0))*(1+IF($N$21=$D$1,IF($Y$21*$AD$21&gt;=$K$1,0,IF($Y$21*$AD$21&gt;=$J$1,0,0)),0))*$B26*$D26*$E26^(R$2-1),1),0)</f>
        <v>0</v>
      </c>
      <c r="S26" s="47">
        <f>IF(CEILING($B26*$D26/3,1)&gt;=S$2,CEILING($F$1*IF($Y$21*$AD$21&gt;=$I$1,1,IF($Y$21*$AD$21&gt;=$H$1,0.5,0))*(1+IF($N$21=$D$1,IF($Y$21*$AD$21&gt;=$K$1,0,IF($Y$21*$AD$21&gt;=$J$1,0,0)),0))*$B26*$D26*$E26^(S$2-1),1),0)</f>
        <v>0</v>
      </c>
      <c r="T26" s="47">
        <f>IF(CEILING($B26*$D26/3,1)&gt;=T$2,CEILING($F$1*IF($Y$21*$AD$21&gt;=$I$1,1,IF($Y$21*$AD$21&gt;=$H$1,0.5,0))*(1+IF($N$21=$D$1,IF($Y$21*$AD$21&gt;=$K$1,0,IF($Y$21*$AD$21&gt;=$J$1,0,0)),0))*$B26*$D26*$E26^(T$2-1),1),0)</f>
        <v>0</v>
      </c>
      <c r="U26" s="47">
        <f>IF(CEILING($B26*$D26/3,1)&gt;=U$2,CEILING($F$1*IF($Y$21*$AD$21&gt;=$I$1,1,IF($Y$21*$AD$21&gt;=$H$1,0.5,0))*(1+IF($N$21=$D$1,IF($Y$21*$AD$21&gt;=$K$1,0,IF($Y$21*$AD$21&gt;=$J$1,0,0)),0))*$B26*$D26*$E26^(U$2-1),1),0)</f>
        <v>0</v>
      </c>
      <c r="V26" s="47">
        <f>IF(CEILING($B26*$D26/3,1)&gt;=V$2,CEILING($F$1*IF($Y$21*$AD$21&gt;=$I$1,1,IF($Y$21*$AD$21&gt;=$H$1,0.5,0))*(1+IF($N$21=$D$1,IF($Y$21*$AD$21&gt;=$K$1,0,IF($Y$21*$AD$21&gt;=$J$1,0,0)),0))*$B26*$D26*$E26^(V$2-1),1),0)</f>
        <v>0</v>
      </c>
      <c r="W26" s="47">
        <f>IF(CEILING($B26*$D26/3,1)&gt;=W$2,CEILING($F$1*IF($Y$21*$AD$21&gt;=$I$1,1,IF($Y$21*$AD$21&gt;=$H$1,0.5,0))*(1+IF($N$21=$D$1,IF($Y$21*$AD$21&gt;=$K$1,0,IF($Y$21*$AD$21&gt;=$J$1,0,0)),0))*$B26*$D26*$E26^(W$2-1),1),0)</f>
        <v>0</v>
      </c>
      <c r="X26" s="47">
        <f>IF(CEILING($B26*$D26/3,1)&gt;=X$2,CEILING($F$1*IF($Y$21*$AD$21&gt;=$I$1,1,IF($Y$21*$AD$21&gt;=$H$1,0.5,0))*(1+IF($N$21=$D$1,IF($Y$21*$AD$21&gt;=$K$1,0,IF($Y$21*$AD$21&gt;=$J$1,0,0)),0))*$B26*$D26*$E26^(X$2-1),1),0)</f>
        <v>0</v>
      </c>
      <c r="Y26" s="47">
        <f>IF(CEILING($B26*$D26/3,1)&gt;=Y$2,CEILING($F$1*IF($Y$21*$AD$21&gt;=$I$1,1,IF($Y$21*$AD$21&gt;=$H$1,0.5,0))*(1+IF($N$21=$D$1,IF($Y$21*$AD$21&gt;=$K$1,0,IF($Y$21*$AD$21&gt;=$J$1,0,0)),0))*$B26*$D26*$E26^(Y$2-1),1),0)</f>
        <v>0</v>
      </c>
      <c r="Z26" s="47">
        <f>IF(CEILING($B26*$D26/3,1)&gt;=Z$2,CEILING($F$1*IF($Y$21*$AD$21&gt;=$I$1,1,IF($Y$21*$AD$21&gt;=$H$1,0.5,0))*(1+IF($N$21=$D$1,IF($Y$21*$AD$21&gt;=$K$1,0,IF($Y$21*$AD$21&gt;=$J$1,0,0)),0))*$B26*$D26*$E26^(Z$2-1),1),0)</f>
        <v>0</v>
      </c>
      <c r="AA26" s="47">
        <f>IF(CEILING($B26*$D26/3,1)&gt;=AA$2,CEILING($F$1*IF($Y$21*$AD$21&gt;=$I$1,1,IF($Y$21*$AD$21&gt;=$H$1,0.5,0))*(1+IF($N$21=$D$1,IF($Y$21*$AD$21&gt;=$K$1,0,IF($Y$21*$AD$21&gt;=$J$1,0,0)),0))*$B26*$D26*$E26^(AA$2-1),1),0)</f>
        <v>0</v>
      </c>
      <c r="AB26" s="47">
        <f>IF(CEILING($B26*$D26/3,1)&gt;=AB$2,CEILING($F$1*IF($Y$21*$AD$21&gt;=$I$1,1,IF($Y$21*$AD$21&gt;=$H$1,0.5,0))*(1+IF($N$21=$D$1,IF($Y$21*$AD$21&gt;=$K$1,0,IF($Y$21*$AD$21&gt;=$J$1,0,0)),0))*$B26*$D26*$E26^(AB$2-1),1),0)</f>
        <v>0</v>
      </c>
      <c r="AC26" s="47">
        <f>IF(CEILING($B26*$D26/3,1)&gt;=AC$2,CEILING($F$1*IF($Y$21*$AD$21&gt;=$I$1,1,IF($Y$21*$AD$21&gt;=$H$1,0.5,0))*(1+IF($N$21=$D$1,IF($Y$21*$AD$21&gt;=$K$1,0,IF($Y$21*$AD$21&gt;=$J$1,0,0)),0))*$B26*$D26*$E26^(AC$2-1),1),0)</f>
        <v>0</v>
      </c>
      <c r="AD26" s="47">
        <f>IF(CEILING($B26*$D26/3,1)&gt;=AD$2,CEILING($F$1*IF($Y$21*$AD$21&gt;=$I$1,1,IF($Y$21*$AD$21&gt;=$H$1,0.5,0))*(1+IF($N$21=$D$1,IF($Y$21*$AD$21&gt;=$K$1,0,IF($Y$21*$AD$21&gt;=$J$1,0,0)),0))*$B26*$D26*$E26^(AD$2-1),1),0)</f>
        <v>0</v>
      </c>
      <c r="AE26" s="47">
        <f>IF(CEILING($B26*$D26/3,1)&gt;=AE$2,CEILING($F$1*IF($Y$21*$AD$21&gt;=$I$1,1,IF($Y$21*$AD$21&gt;=$H$1,0.5,0))*(1+IF($N$21=$D$1,IF($Y$21*$AD$21&gt;=$K$1,0,IF($Y$21*$AD$21&gt;=$J$1,0,0)),0))*$B26*$D26*$E26^(AE$2-1),1),0)</f>
        <v>0</v>
      </c>
      <c r="AF26" s="47">
        <f>IF(CEILING($B26*$D26/3,1)&gt;=AF$2,CEILING($F$1*IF($Y$21*$AD$21&gt;=$I$1,1,IF($Y$21*$AD$21&gt;=$H$1,0.5,0))*(1+IF($N$21=$D$1,IF($Y$21*$AD$21&gt;=$K$1,0,IF($Y$21*$AD$21&gt;=$J$1,0,0)),0))*$B26*$D26*$E26^(AF$2-1),1),0)</f>
        <v>0</v>
      </c>
      <c r="AG26" s="47">
        <f>IF(CEILING($B26*$D26/3,1)&gt;=AG$2,CEILING($F$1*IF($Y$21*$AD$21&gt;=$I$1,1,IF($Y$21*$AD$21&gt;=$H$1,0.5,0))*(1+IF($N$21=$D$1,IF($Y$21*$AD$21&gt;=$K$1,0,IF($Y$21*$AD$21&gt;=$J$1,0,0)),0))*$B26*$D26*$E26^(AG$2-1),1),0)</f>
        <v>0</v>
      </c>
      <c r="AH26" s="47">
        <f>IF(CEILING($B26*$D26/3,1)&gt;=AH$2,CEILING($F$1*IF($Y$21*$AD$21&gt;=$I$1,1,IF($Y$21*$AD$21&gt;=$H$1,0.5,0))*(1+IF($N$21=$D$1,IF($Y$21*$AD$21&gt;=$K$1,0,IF($Y$21*$AD$21&gt;=$J$1,0,0)),0))*$B26*$D26*$E26^(AH$2-1),1),0)</f>
        <v>0</v>
      </c>
      <c r="AI26" s="48">
        <f>IF(CEILING($B26*$D26/3,1)&gt;=AI$2,CEILING($F$1*IF($Y$21*$AD$21&gt;=$I$1,1,IF($Y$21*$AD$21&gt;=$H$1,0.5,0))*(1+IF($N$21=$D$1,IF($Y$21*$AD$21&gt;=$K$1,0,IF($Y$21*$AD$21&gt;=$J$1,0,0)),0))*$B26*$D26*$E26^(AI$2-1),1),0)</f>
        <v>0</v>
      </c>
    </row>
    <row r="27" spans="1:35" ht="15" customHeight="1" x14ac:dyDescent="0.25">
      <c r="A27" s="12"/>
      <c r="B27" s="9"/>
      <c r="C27" s="9"/>
      <c r="D27" s="9"/>
      <c r="E27" s="9"/>
      <c r="F27" s="9"/>
      <c r="G27" s="9"/>
      <c r="H27" s="9"/>
      <c r="I27" s="9"/>
      <c r="J27" s="10"/>
      <c r="K27" s="10"/>
      <c r="L27" s="10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1"/>
    </row>
    <row r="28" spans="1:35" x14ac:dyDescent="0.25">
      <c r="A28" s="14" t="s">
        <v>14</v>
      </c>
    </row>
    <row r="29" spans="1:35" x14ac:dyDescent="0.25">
      <c r="C29" s="119" t="s">
        <v>15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</row>
    <row r="30" spans="1:35" x14ac:dyDescent="0.25">
      <c r="C30" s="104" t="s">
        <v>16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</row>
    <row r="31" spans="1:35" x14ac:dyDescent="0.25">
      <c r="C31" s="104" t="s">
        <v>17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</row>
    <row r="32" spans="1:35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33" spans="1:34" x14ac:dyDescent="0.25">
      <c r="A33" s="57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</row>
    <row r="34" spans="1:34" x14ac:dyDescent="0.25">
      <c r="A34" s="57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</row>
    <row r="35" spans="1:34" x14ac:dyDescent="0.25">
      <c r="A35" s="57"/>
      <c r="D35" s="56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</row>
    <row r="36" spans="1:34" x14ac:dyDescent="0.25">
      <c r="A36" s="57"/>
      <c r="D36" s="5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</row>
    <row r="37" spans="1:34" x14ac:dyDescent="0.25">
      <c r="A37" s="57"/>
      <c r="D37" s="56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</row>
    <row r="51" spans="1:4" x14ac:dyDescent="0.25">
      <c r="A51" s="1"/>
      <c r="B51" s="1"/>
      <c r="D51" s="14"/>
    </row>
    <row r="52" spans="1:4" x14ac:dyDescent="0.25">
      <c r="C52" s="2"/>
      <c r="D52" s="14"/>
    </row>
  </sheetData>
  <sheetProtection password="C4EE" sheet="1" objects="1" scenarios="1"/>
  <mergeCells count="38">
    <mergeCell ref="C29:AH29"/>
    <mergeCell ref="C30:AH30"/>
    <mergeCell ref="C31:AH31"/>
    <mergeCell ref="N1:X1"/>
    <mergeCell ref="F21:H21"/>
    <mergeCell ref="J21:M21"/>
    <mergeCell ref="N21:O21"/>
    <mergeCell ref="P21:S21"/>
    <mergeCell ref="U21:X21"/>
    <mergeCell ref="Z21:AC21"/>
    <mergeCell ref="F15:H15"/>
    <mergeCell ref="J15:M15"/>
    <mergeCell ref="N15:O15"/>
    <mergeCell ref="P15:S15"/>
    <mergeCell ref="U15:X15"/>
    <mergeCell ref="Z15:AC15"/>
    <mergeCell ref="U3:X3"/>
    <mergeCell ref="F10:H10"/>
    <mergeCell ref="J10:M10"/>
    <mergeCell ref="N10:O10"/>
    <mergeCell ref="P10:S10"/>
    <mergeCell ref="U10:X10"/>
    <mergeCell ref="C32:AH32"/>
    <mergeCell ref="A2:B2"/>
    <mergeCell ref="A3:B3"/>
    <mergeCell ref="C2:D2"/>
    <mergeCell ref="F3:H3"/>
    <mergeCell ref="J3:M3"/>
    <mergeCell ref="N3:O3"/>
    <mergeCell ref="P3:S3"/>
    <mergeCell ref="Z10:AC10"/>
    <mergeCell ref="Z3:AC3"/>
    <mergeCell ref="F6:H6"/>
    <mergeCell ref="J6:M6"/>
    <mergeCell ref="N6:O6"/>
    <mergeCell ref="P6:S6"/>
    <mergeCell ref="U6:X6"/>
    <mergeCell ref="Z6:AC6"/>
  </mergeCells>
  <conditionalFormatting sqref="F4:AI4">
    <cfRule type="cellIs" dxfId="44" priority="5" operator="equal">
      <formula>0</formula>
    </cfRule>
  </conditionalFormatting>
  <conditionalFormatting sqref="F7:AI8">
    <cfRule type="cellIs" dxfId="43" priority="4" operator="equal">
      <formula>0</formula>
    </cfRule>
  </conditionalFormatting>
  <conditionalFormatting sqref="F11:AI13">
    <cfRule type="cellIs" dxfId="42" priority="3" operator="equal">
      <formula>0</formula>
    </cfRule>
  </conditionalFormatting>
  <conditionalFormatting sqref="F16:AI19">
    <cfRule type="cellIs" dxfId="41" priority="2" operator="equal">
      <formula>0</formula>
    </cfRule>
  </conditionalFormatting>
  <conditionalFormatting sqref="F22:AI26">
    <cfRule type="cellIs" dxfId="40" priority="1" operator="equal">
      <formula>0</formula>
    </cfRule>
  </conditionalFormatting>
  <dataValidations count="6">
    <dataValidation type="whole" operator="greaterThan" allowBlank="1" showInputMessage="1" showErrorMessage="1" errorTitle="Fejl" error="Kun postive heltal" sqref="AD21 AD15 AD10 AD6 AD3 Y21 Y15 Y10 Y6 Y3">
      <formula1>0</formula1>
    </dataValidation>
    <dataValidation allowBlank="1" showInputMessage="1" showErrorMessage="1" promptTitle="Q-værdi" prompt="Andelen af MP for den næste af to placeringer." sqref="E4 E7:E8 E11:E13 E16:E19 E22:E26"/>
    <dataValidation allowBlank="1" showInputMessage="1" showErrorMessage="1" promptTitle="&quot;dnul&quot;" prompt="Det beregnede antal deltagere" sqref="D16:D19 D11:D13 D22:D26 D7:D8 D4"/>
    <dataValidation type="whole" operator="greaterThanOrEqual" allowBlank="1" showInputMessage="1" showErrorMessage="1" errorTitle="Fejl" error="Kun postive heltal" promptTitle="Minimum" prompt="Mindst 4 deltagere" sqref="T3 T6 T10 T15 T21">
      <formula1>4</formula1>
    </dataValidation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type="list" showInputMessage="1" showErrorMessage="1" errorTitle="Arrangør" error="Intet valg: Alle" promptTitle="Arrangør" prompt="Alle arrangører har samme muligheder." sqref="N3:O3 N6:O6 N10:O10 N15:O15 N21:O21">
      <formula1>$C$1:$D$1</formula1>
    </dataValidation>
  </dataValidations>
  <printOptions horizontalCentered="1"/>
  <pageMargins left="0.31496062992125984" right="0.31496062992125984" top="1.7322834645669292" bottom="0.74803149606299213" header="0.31496062992125984" footer="0.31496062992125984"/>
  <pageSetup paperSize="9" scale="87" orientation="landscape" horizontalDpi="4294967295" verticalDpi="4294967295" r:id="rId1"/>
  <headerFooter>
    <oddHeader>&amp;L&amp;G&amp;C&amp;20Bronzepoint i parturneringer&amp;RVersion 1.1</oddHeader>
    <oddFooter>&amp;CUdskrevet: &amp;D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zoomScaleNormal="100" workbookViewId="0">
      <selection activeCell="N3" sqref="N3:O3"/>
    </sheetView>
  </sheetViews>
  <sheetFormatPr defaultRowHeight="15" x14ac:dyDescent="0.25"/>
  <cols>
    <col min="1" max="1" width="2.28515625" style="96" customWidth="1"/>
    <col min="2" max="2" width="5.28515625" style="96" customWidth="1"/>
    <col min="3" max="3" width="5.7109375" style="1" customWidth="1"/>
    <col min="4" max="4" width="4.7109375" style="95" customWidth="1"/>
    <col min="5" max="5" width="9.140625" style="96" customWidth="1"/>
    <col min="6" max="7" width="5.7109375" style="96" customWidth="1"/>
    <col min="8" max="13" width="4.7109375" style="96" customWidth="1"/>
    <col min="14" max="35" width="4.28515625" style="96" customWidth="1"/>
    <col min="36" max="16384" width="9.140625" style="96"/>
  </cols>
  <sheetData>
    <row r="1" spans="1:35" x14ac:dyDescent="0.25">
      <c r="A1" s="20">
        <v>0</v>
      </c>
      <c r="B1" s="20">
        <v>1</v>
      </c>
      <c r="C1" s="18" t="s">
        <v>5</v>
      </c>
      <c r="D1" s="19" t="s">
        <v>6</v>
      </c>
      <c r="E1" s="21" t="s">
        <v>23</v>
      </c>
      <c r="F1" s="18">
        <v>1</v>
      </c>
      <c r="G1" s="20">
        <v>0.1</v>
      </c>
      <c r="H1" s="21">
        <v>27</v>
      </c>
      <c r="I1" s="21">
        <v>42</v>
      </c>
      <c r="J1" s="21">
        <v>100</v>
      </c>
      <c r="K1" s="21">
        <v>150</v>
      </c>
      <c r="L1" s="21">
        <v>0</v>
      </c>
      <c r="M1" s="21">
        <v>2</v>
      </c>
      <c r="N1" s="126" t="s">
        <v>0</v>
      </c>
      <c r="O1" s="126"/>
      <c r="P1" s="126"/>
      <c r="Q1" s="126"/>
      <c r="R1" s="126"/>
      <c r="S1" s="126"/>
      <c r="T1" s="126"/>
      <c r="U1" s="126"/>
      <c r="V1" s="126"/>
      <c r="W1" s="126"/>
    </row>
    <row r="2" spans="1:35" x14ac:dyDescent="0.25">
      <c r="A2" s="105" t="s">
        <v>8</v>
      </c>
      <c r="B2" s="106"/>
      <c r="C2" s="110" t="s">
        <v>9</v>
      </c>
      <c r="D2" s="111"/>
      <c r="E2" s="22" t="s">
        <v>13</v>
      </c>
      <c r="F2" s="23">
        <v>1</v>
      </c>
      <c r="G2" s="23">
        <v>2</v>
      </c>
      <c r="H2" s="23">
        <v>3</v>
      </c>
      <c r="I2" s="23">
        <v>4</v>
      </c>
      <c r="J2" s="23">
        <v>5</v>
      </c>
      <c r="K2" s="23">
        <v>6</v>
      </c>
      <c r="L2" s="23">
        <v>7</v>
      </c>
      <c r="M2" s="23">
        <v>8</v>
      </c>
      <c r="N2" s="23">
        <v>9</v>
      </c>
      <c r="O2" s="23">
        <v>10</v>
      </c>
      <c r="P2" s="23">
        <v>11</v>
      </c>
      <c r="Q2" s="23">
        <v>12</v>
      </c>
      <c r="R2" s="23">
        <v>13</v>
      </c>
      <c r="S2" s="23">
        <v>14</v>
      </c>
      <c r="T2" s="23">
        <v>15</v>
      </c>
      <c r="U2" s="23">
        <v>16</v>
      </c>
      <c r="V2" s="23">
        <v>17</v>
      </c>
      <c r="W2" s="23">
        <v>18</v>
      </c>
      <c r="X2" s="23">
        <v>19</v>
      </c>
      <c r="Y2" s="23">
        <v>20</v>
      </c>
      <c r="Z2" s="23">
        <v>21</v>
      </c>
      <c r="AA2" s="23">
        <v>22</v>
      </c>
      <c r="AB2" s="23">
        <v>23</v>
      </c>
      <c r="AC2" s="23">
        <v>24</v>
      </c>
      <c r="AD2" s="23">
        <v>25</v>
      </c>
      <c r="AE2" s="23">
        <v>26</v>
      </c>
      <c r="AF2" s="23">
        <v>27</v>
      </c>
      <c r="AG2" s="23">
        <v>28</v>
      </c>
      <c r="AH2" s="23">
        <v>29</v>
      </c>
      <c r="AI2" s="24">
        <v>30</v>
      </c>
    </row>
    <row r="3" spans="1:35" x14ac:dyDescent="0.25">
      <c r="A3" s="107" t="s">
        <v>7</v>
      </c>
      <c r="B3" s="108"/>
      <c r="C3" s="5" t="s">
        <v>10</v>
      </c>
      <c r="D3" s="7" t="s">
        <v>33</v>
      </c>
      <c r="E3" s="62" t="s">
        <v>12</v>
      </c>
      <c r="F3" s="112" t="s">
        <v>11</v>
      </c>
      <c r="G3" s="112"/>
      <c r="H3" s="112"/>
      <c r="I3" s="25">
        <v>1</v>
      </c>
      <c r="J3" s="113" t="s">
        <v>3</v>
      </c>
      <c r="K3" s="113"/>
      <c r="L3" s="113"/>
      <c r="M3" s="113"/>
      <c r="N3" s="118" t="s">
        <v>5</v>
      </c>
      <c r="O3" s="118"/>
      <c r="P3" s="116" t="s">
        <v>1</v>
      </c>
      <c r="Q3" s="116"/>
      <c r="R3" s="116"/>
      <c r="S3" s="116"/>
      <c r="T3" s="15">
        <v>16</v>
      </c>
      <c r="U3" s="116" t="s">
        <v>2</v>
      </c>
      <c r="V3" s="116"/>
      <c r="W3" s="116"/>
      <c r="X3" s="116"/>
      <c r="Y3" s="15">
        <v>15</v>
      </c>
      <c r="Z3" s="116" t="s">
        <v>4</v>
      </c>
      <c r="AA3" s="116"/>
      <c r="AB3" s="116"/>
      <c r="AC3" s="116"/>
      <c r="AD3" s="15">
        <v>3</v>
      </c>
      <c r="AE3" s="26"/>
      <c r="AF3" s="26"/>
      <c r="AG3" s="26"/>
      <c r="AH3" s="26"/>
      <c r="AI3" s="27"/>
    </row>
    <row r="4" spans="1:35" x14ac:dyDescent="0.25">
      <c r="A4" s="97">
        <v>1</v>
      </c>
      <c r="B4" s="60">
        <v>1</v>
      </c>
      <c r="C4" s="16">
        <v>0</v>
      </c>
      <c r="D4" s="67">
        <f>CEILING(1+MIN(Y$3,T$3-C4-1)+MAX((T$3-C4-1-Y$3)/$M$1,0),1)</f>
        <v>16</v>
      </c>
      <c r="E4" s="63">
        <f>MAX(($G$1/($F$1*D4))^(1/(ROUNDUP(D4/3,)-1)),2/3)</f>
        <v>0.66666666666666663</v>
      </c>
      <c r="F4" s="28">
        <f>IF(CEILING($B4*$D4*(1+IF($N$3=$D$1,IF($Y$3*$AD$3&gt;=$K$1,0.4,IF($Y$3*$AD$3&gt;=$J$1,0.2,0)),0))/3,1)&gt;=F$2,CEILING($F$1*IF($Y$3*$AD$3&gt;=$I$1,1,IF($Y$3*$AD$3&gt;=$H$1,0.5,0))*(1+IF($N$3=$D$1,IF($Y$3*$AD$3&gt;=$K$1,0.4,IF($Y$3*$AD$3&gt;=$J$1,0.2,0)),0))*$B4*$D4*$E4^(F$2-1),0.1),0)</f>
        <v>16</v>
      </c>
      <c r="G4" s="28">
        <f t="shared" ref="G4:AI4" si="0">IF(CEILING($B4*$D4*(1+IF($N$3=$D$1,IF($Y$3*$AD$3&gt;=$K$1,0.4,IF($Y$3*$AD$3&gt;=$J$1,0.2,0)),0))/3,1)&gt;=G$2,CEILING($F$1*IF($Y$3*$AD$3&gt;=$I$1,1,IF($Y$3*$AD$3&gt;=$H$1,0.5,0))*(1+IF($N$3=$D$1,IF($Y$3*$AD$3&gt;=$K$1,0.4,IF($Y$3*$AD$3&gt;=$J$1,0.2,0)),0))*$B4*$D4*$E4^(G$2-1),0.1),0)</f>
        <v>10.700000000000001</v>
      </c>
      <c r="H4" s="28">
        <f t="shared" si="0"/>
        <v>7.2</v>
      </c>
      <c r="I4" s="28">
        <f t="shared" si="0"/>
        <v>4.8000000000000007</v>
      </c>
      <c r="J4" s="28">
        <f t="shared" si="0"/>
        <v>3.2</v>
      </c>
      <c r="K4" s="28">
        <f t="shared" si="0"/>
        <v>2.2000000000000002</v>
      </c>
      <c r="L4" s="28">
        <f t="shared" si="0"/>
        <v>0</v>
      </c>
      <c r="M4" s="28">
        <f t="shared" si="0"/>
        <v>0</v>
      </c>
      <c r="N4" s="28">
        <f t="shared" si="0"/>
        <v>0</v>
      </c>
      <c r="O4" s="28">
        <f t="shared" si="0"/>
        <v>0</v>
      </c>
      <c r="P4" s="28">
        <f t="shared" si="0"/>
        <v>0</v>
      </c>
      <c r="Q4" s="28">
        <f t="shared" si="0"/>
        <v>0</v>
      </c>
      <c r="R4" s="28">
        <f t="shared" si="0"/>
        <v>0</v>
      </c>
      <c r="S4" s="28">
        <f t="shared" si="0"/>
        <v>0</v>
      </c>
      <c r="T4" s="28">
        <f t="shared" si="0"/>
        <v>0</v>
      </c>
      <c r="U4" s="28">
        <f t="shared" si="0"/>
        <v>0</v>
      </c>
      <c r="V4" s="28">
        <f t="shared" si="0"/>
        <v>0</v>
      </c>
      <c r="W4" s="28">
        <f t="shared" si="0"/>
        <v>0</v>
      </c>
      <c r="X4" s="28">
        <f t="shared" si="0"/>
        <v>0</v>
      </c>
      <c r="Y4" s="28">
        <f t="shared" si="0"/>
        <v>0</v>
      </c>
      <c r="Z4" s="28">
        <f t="shared" si="0"/>
        <v>0</v>
      </c>
      <c r="AA4" s="28">
        <f t="shared" si="0"/>
        <v>0</v>
      </c>
      <c r="AB4" s="28">
        <f t="shared" si="0"/>
        <v>0</v>
      </c>
      <c r="AC4" s="28">
        <f t="shared" si="0"/>
        <v>0</v>
      </c>
      <c r="AD4" s="28">
        <f t="shared" si="0"/>
        <v>0</v>
      </c>
      <c r="AE4" s="28">
        <f t="shared" si="0"/>
        <v>0</v>
      </c>
      <c r="AF4" s="28">
        <f t="shared" si="0"/>
        <v>0</v>
      </c>
      <c r="AG4" s="28">
        <f t="shared" si="0"/>
        <v>0</v>
      </c>
      <c r="AH4" s="28">
        <f t="shared" si="0"/>
        <v>0</v>
      </c>
      <c r="AI4" s="29">
        <f t="shared" si="0"/>
        <v>0</v>
      </c>
    </row>
    <row r="5" spans="1:35" x14ac:dyDescent="0.25">
      <c r="A5" s="97"/>
      <c r="B5" s="60"/>
      <c r="C5" s="6"/>
      <c r="D5" s="68"/>
      <c r="E5" s="64"/>
      <c r="F5" s="3"/>
      <c r="G5" s="3"/>
      <c r="H5" s="3"/>
      <c r="I5" s="3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x14ac:dyDescent="0.25">
      <c r="A6" s="97"/>
      <c r="B6" s="60"/>
      <c r="C6" s="6"/>
      <c r="D6" s="68"/>
      <c r="E6" s="64"/>
      <c r="F6" s="112" t="s">
        <v>11</v>
      </c>
      <c r="G6" s="112"/>
      <c r="H6" s="112"/>
      <c r="I6" s="25">
        <v>2</v>
      </c>
      <c r="J6" s="113" t="s">
        <v>3</v>
      </c>
      <c r="K6" s="113"/>
      <c r="L6" s="113"/>
      <c r="M6" s="113"/>
      <c r="N6" s="118" t="s">
        <v>5</v>
      </c>
      <c r="O6" s="118"/>
      <c r="P6" s="116" t="s">
        <v>1</v>
      </c>
      <c r="Q6" s="116"/>
      <c r="R6" s="116"/>
      <c r="S6" s="116"/>
      <c r="T6" s="15">
        <v>16</v>
      </c>
      <c r="U6" s="116" t="s">
        <v>2</v>
      </c>
      <c r="V6" s="116"/>
      <c r="W6" s="116"/>
      <c r="X6" s="116"/>
      <c r="Y6" s="15">
        <v>15</v>
      </c>
      <c r="Z6" s="116" t="s">
        <v>4</v>
      </c>
      <c r="AA6" s="116"/>
      <c r="AB6" s="116"/>
      <c r="AC6" s="116"/>
      <c r="AD6" s="15">
        <v>3</v>
      </c>
      <c r="AE6" s="26"/>
      <c r="AF6" s="26"/>
      <c r="AG6" s="26"/>
      <c r="AH6" s="26"/>
      <c r="AI6" s="27"/>
    </row>
    <row r="7" spans="1:35" x14ac:dyDescent="0.25">
      <c r="A7" s="97">
        <v>1</v>
      </c>
      <c r="B7" s="60">
        <v>1.1000000000000001</v>
      </c>
      <c r="C7" s="16">
        <v>0</v>
      </c>
      <c r="D7" s="67">
        <f>CEILING(1+MIN(Y$6,T$6-C7-1)+MAX((T$6-C7-1-Y$6)/$M$1,0),1)</f>
        <v>16</v>
      </c>
      <c r="E7" s="63">
        <f>MAX(($G$1/($F$1*D7))^(1/(ROUNDUP(D7/3,)-1)),2/3)</f>
        <v>0.66666666666666663</v>
      </c>
      <c r="F7" s="28">
        <f>IF(CEILING($B7*$D7*(1+IF($N$6=$D$1,IF($Y$6*$AD$6&gt;=$K$1,0.4,IF($Y$6*$AD$6&gt;=$J$1,0.2,0)),0))/3,1)&gt;=F$2,CEILING($F$1*IF($Y$6*$AD$6&gt;=$I$1,1,IF($Y$6*$AD$6&gt;=$H$1,0.5,0))*(1+IF($N$6=$D$1,IF($Y$6*$AD$6&gt;=$K$1,0.4,IF($Y$6*$AD$6&gt;=$J$1,0.2,0)),0))*$B7*$D7*$E7^(F$2-1),0.1),0)</f>
        <v>17.600000000000001</v>
      </c>
      <c r="G7" s="28">
        <f t="shared" ref="G7:AI8" si="1">IF(CEILING($B7*$D7*(1+IF($N$6=$D$1,IF($Y$6*$AD$6&gt;=$K$1,0.4,IF($Y$6*$AD$6&gt;=$J$1,0.2,0)),0))/3,1)&gt;=G$2,CEILING($F$1*IF($Y$6*$AD$6&gt;=$I$1,1,IF($Y$6*$AD$6&gt;=$H$1,0.5,0))*(1+IF($N$6=$D$1,IF($Y$6*$AD$6&gt;=$K$1,0.4,IF($Y$6*$AD$6&gt;=$J$1,0.2,0)),0))*$B7*$D7*$E7^(G$2-1),0.1),0)</f>
        <v>11.8</v>
      </c>
      <c r="H7" s="28">
        <f t="shared" si="1"/>
        <v>7.9</v>
      </c>
      <c r="I7" s="28">
        <f t="shared" si="1"/>
        <v>5.3000000000000007</v>
      </c>
      <c r="J7" s="28">
        <f t="shared" si="1"/>
        <v>3.5</v>
      </c>
      <c r="K7" s="28">
        <f t="shared" si="1"/>
        <v>2.4000000000000004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0</v>
      </c>
      <c r="U7" s="28">
        <f t="shared" si="1"/>
        <v>0</v>
      </c>
      <c r="V7" s="28">
        <f t="shared" si="1"/>
        <v>0</v>
      </c>
      <c r="W7" s="28">
        <f t="shared" si="1"/>
        <v>0</v>
      </c>
      <c r="X7" s="28">
        <f t="shared" si="1"/>
        <v>0</v>
      </c>
      <c r="Y7" s="28">
        <f t="shared" si="1"/>
        <v>0</v>
      </c>
      <c r="Z7" s="28">
        <f t="shared" si="1"/>
        <v>0</v>
      </c>
      <c r="AA7" s="28">
        <f t="shared" si="1"/>
        <v>0</v>
      </c>
      <c r="AB7" s="28">
        <f t="shared" si="1"/>
        <v>0</v>
      </c>
      <c r="AC7" s="28">
        <f t="shared" si="1"/>
        <v>0</v>
      </c>
      <c r="AD7" s="28">
        <f t="shared" si="1"/>
        <v>0</v>
      </c>
      <c r="AE7" s="28">
        <f t="shared" si="1"/>
        <v>0</v>
      </c>
      <c r="AF7" s="28">
        <f t="shared" si="1"/>
        <v>0</v>
      </c>
      <c r="AG7" s="28">
        <f t="shared" si="1"/>
        <v>0</v>
      </c>
      <c r="AH7" s="28">
        <f t="shared" si="1"/>
        <v>0</v>
      </c>
      <c r="AI7" s="29">
        <f t="shared" si="1"/>
        <v>0</v>
      </c>
    </row>
    <row r="8" spans="1:35" x14ac:dyDescent="0.25">
      <c r="A8" s="97">
        <v>2</v>
      </c>
      <c r="B8" s="60">
        <v>0.9</v>
      </c>
      <c r="C8" s="16">
        <v>0</v>
      </c>
      <c r="D8" s="67">
        <f>CEILING(1+MIN(Y$6,T$6-C8-1)+MAX((T$6-C8-1-Y$6)/$M$1,0),1)</f>
        <v>16</v>
      </c>
      <c r="E8" s="63">
        <f>MAX(($G$1/($F$1*D8))^(1/(ROUNDUP(D8/3,)-1)),2/3)</f>
        <v>0.66666666666666663</v>
      </c>
      <c r="F8" s="28">
        <f>IF(CEILING($B8*$D8*(1+IF($N$6=$D$1,IF($Y$6*$AD$6&gt;=$K$1,0.4,IF($Y$6*$AD$6&gt;=$J$1,0.2,0)),0))/3,1)&gt;=F$2,CEILING($F$1*IF($Y$6*$AD$6&gt;=$I$1,1,IF($Y$6*$AD$6&gt;=$H$1,0.5,0))*(1+IF($N$6=$D$1,IF($Y$6*$AD$6&gt;=$K$1,0.4,IF($Y$6*$AD$6&gt;=$J$1,0.2,0)),0))*$B8*$D8*$E8^(F$2-1),0.1),0)</f>
        <v>14.4</v>
      </c>
      <c r="G8" s="28">
        <f t="shared" si="1"/>
        <v>9.6000000000000014</v>
      </c>
      <c r="H8" s="28">
        <f t="shared" si="1"/>
        <v>6.4</v>
      </c>
      <c r="I8" s="28">
        <f t="shared" si="1"/>
        <v>4.3</v>
      </c>
      <c r="J8" s="28">
        <f t="shared" si="1"/>
        <v>2.9000000000000004</v>
      </c>
      <c r="K8" s="28">
        <f t="shared" si="1"/>
        <v>0</v>
      </c>
      <c r="L8" s="28">
        <f t="shared" si="1"/>
        <v>0</v>
      </c>
      <c r="M8" s="28">
        <f t="shared" si="1"/>
        <v>0</v>
      </c>
      <c r="N8" s="28">
        <f t="shared" si="1"/>
        <v>0</v>
      </c>
      <c r="O8" s="28">
        <f t="shared" si="1"/>
        <v>0</v>
      </c>
      <c r="P8" s="28">
        <f t="shared" si="1"/>
        <v>0</v>
      </c>
      <c r="Q8" s="28">
        <f t="shared" si="1"/>
        <v>0</v>
      </c>
      <c r="R8" s="28">
        <f t="shared" si="1"/>
        <v>0</v>
      </c>
      <c r="S8" s="28">
        <f t="shared" si="1"/>
        <v>0</v>
      </c>
      <c r="T8" s="28">
        <f t="shared" si="1"/>
        <v>0</v>
      </c>
      <c r="U8" s="28">
        <f t="shared" si="1"/>
        <v>0</v>
      </c>
      <c r="V8" s="28">
        <f t="shared" si="1"/>
        <v>0</v>
      </c>
      <c r="W8" s="28">
        <f t="shared" si="1"/>
        <v>0</v>
      </c>
      <c r="X8" s="28">
        <f t="shared" si="1"/>
        <v>0</v>
      </c>
      <c r="Y8" s="28">
        <f t="shared" si="1"/>
        <v>0</v>
      </c>
      <c r="Z8" s="28">
        <f t="shared" si="1"/>
        <v>0</v>
      </c>
      <c r="AA8" s="28">
        <f t="shared" si="1"/>
        <v>0</v>
      </c>
      <c r="AB8" s="28">
        <f t="shared" si="1"/>
        <v>0</v>
      </c>
      <c r="AC8" s="28">
        <f t="shared" si="1"/>
        <v>0</v>
      </c>
      <c r="AD8" s="28">
        <f t="shared" si="1"/>
        <v>0</v>
      </c>
      <c r="AE8" s="28">
        <f t="shared" si="1"/>
        <v>0</v>
      </c>
      <c r="AF8" s="28">
        <f t="shared" si="1"/>
        <v>0</v>
      </c>
      <c r="AG8" s="28">
        <f t="shared" si="1"/>
        <v>0</v>
      </c>
      <c r="AH8" s="28">
        <f t="shared" si="1"/>
        <v>0</v>
      </c>
      <c r="AI8" s="29">
        <f t="shared" si="1"/>
        <v>0</v>
      </c>
    </row>
    <row r="9" spans="1:35" x14ac:dyDescent="0.25">
      <c r="A9" s="97"/>
      <c r="B9" s="60"/>
      <c r="C9" s="6"/>
      <c r="D9" s="68"/>
      <c r="E9" s="64"/>
      <c r="F9" s="3"/>
      <c r="G9" s="3"/>
      <c r="H9" s="3"/>
      <c r="I9" s="3"/>
      <c r="J9" s="8"/>
      <c r="K9" s="8"/>
      <c r="L9" s="8"/>
      <c r="M9" s="8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4"/>
    </row>
    <row r="10" spans="1:35" x14ac:dyDescent="0.25">
      <c r="A10" s="97"/>
      <c r="B10" s="60"/>
      <c r="C10" s="6"/>
      <c r="D10" s="68"/>
      <c r="E10" s="64"/>
      <c r="F10" s="112" t="s">
        <v>11</v>
      </c>
      <c r="G10" s="112"/>
      <c r="H10" s="112"/>
      <c r="I10" s="25">
        <v>3</v>
      </c>
      <c r="J10" s="113" t="s">
        <v>3</v>
      </c>
      <c r="K10" s="113"/>
      <c r="L10" s="113"/>
      <c r="M10" s="113"/>
      <c r="N10" s="118" t="s">
        <v>5</v>
      </c>
      <c r="O10" s="118"/>
      <c r="P10" s="116" t="s">
        <v>1</v>
      </c>
      <c r="Q10" s="116"/>
      <c r="R10" s="116"/>
      <c r="S10" s="116"/>
      <c r="T10" s="15">
        <v>16</v>
      </c>
      <c r="U10" s="116" t="s">
        <v>2</v>
      </c>
      <c r="V10" s="116"/>
      <c r="W10" s="116"/>
      <c r="X10" s="116"/>
      <c r="Y10" s="15">
        <v>15</v>
      </c>
      <c r="Z10" s="116" t="s">
        <v>4</v>
      </c>
      <c r="AA10" s="116"/>
      <c r="AB10" s="116"/>
      <c r="AC10" s="116"/>
      <c r="AD10" s="15">
        <v>3</v>
      </c>
      <c r="AE10" s="26"/>
      <c r="AF10" s="26"/>
      <c r="AG10" s="26"/>
      <c r="AH10" s="26"/>
      <c r="AI10" s="27"/>
    </row>
    <row r="11" spans="1:35" x14ac:dyDescent="0.25">
      <c r="A11" s="97">
        <v>1</v>
      </c>
      <c r="B11" s="60">
        <v>1.1499999999999999</v>
      </c>
      <c r="C11" s="16">
        <v>0</v>
      </c>
      <c r="D11" s="67">
        <f>CEILING(1+MIN(Y$10,T$10-C11-1)+MAX((T$10-C11-1-Y$10)/$M$1,0),1)</f>
        <v>16</v>
      </c>
      <c r="E11" s="63">
        <f>MAX(($G$1/($F$1*D11))^(1/(ROUNDUP(D11/3,)-1)),2/3)</f>
        <v>0.66666666666666663</v>
      </c>
      <c r="F11" s="28">
        <f>IF(CEILING($B11*$D11*(1+IF($N$10=$D$1,IF($Y$10*$AD$10&gt;=$K$1,0.4,IF($Y$10*$AD$10&gt;=$J$1,0.2,0)),0))/3,1)&gt;=F$2,CEILING($F$1*IF($Y$10*$AD$10&gt;=$I$1,1,IF($Y$10*$AD$10&gt;=$H$1,0.5,0))*(1+IF($N$10=$D$1,IF($Y$10*$AD$10&gt;=$K$1,0.4,IF($Y$10*$AD$10&gt;=$J$1,0.2,0)),0))*$B11*$D11*$E11^(F$2-1),0.1),0)</f>
        <v>18.400000000000002</v>
      </c>
      <c r="G11" s="28">
        <f t="shared" ref="G11:AI13" si="2">IF(CEILING($B11*$D11*(1+IF($N$10=$D$1,IF($Y$10*$AD$10&gt;=$K$1,0.4,IF($Y$10*$AD$10&gt;=$J$1,0.2,0)),0))/3,1)&gt;=G$2,CEILING($F$1*IF($Y$10*$AD$10&gt;=$I$1,1,IF($Y$10*$AD$10&gt;=$H$1,0.5,0))*(1+IF($N$10=$D$1,IF($Y$10*$AD$10&gt;=$K$1,0.4,IF($Y$10*$AD$10&gt;=$J$1,0.2,0)),0))*$B11*$D11*$E11^(G$2-1),0.1),0)</f>
        <v>12.3</v>
      </c>
      <c r="H11" s="28">
        <f t="shared" si="2"/>
        <v>8.2000000000000011</v>
      </c>
      <c r="I11" s="28">
        <f t="shared" si="2"/>
        <v>5.5</v>
      </c>
      <c r="J11" s="28">
        <f t="shared" si="2"/>
        <v>3.7</v>
      </c>
      <c r="K11" s="28">
        <f t="shared" si="2"/>
        <v>2.5</v>
      </c>
      <c r="L11" s="28">
        <f t="shared" si="2"/>
        <v>1.7000000000000002</v>
      </c>
      <c r="M11" s="28">
        <f t="shared" si="2"/>
        <v>0</v>
      </c>
      <c r="N11" s="28">
        <f t="shared" si="2"/>
        <v>0</v>
      </c>
      <c r="O11" s="28">
        <f t="shared" si="2"/>
        <v>0</v>
      </c>
      <c r="P11" s="28">
        <f t="shared" si="2"/>
        <v>0</v>
      </c>
      <c r="Q11" s="28">
        <f t="shared" si="2"/>
        <v>0</v>
      </c>
      <c r="R11" s="28">
        <f t="shared" si="2"/>
        <v>0</v>
      </c>
      <c r="S11" s="28">
        <f t="shared" si="2"/>
        <v>0</v>
      </c>
      <c r="T11" s="28">
        <f t="shared" si="2"/>
        <v>0</v>
      </c>
      <c r="U11" s="28">
        <f t="shared" si="2"/>
        <v>0</v>
      </c>
      <c r="V11" s="28">
        <f t="shared" si="2"/>
        <v>0</v>
      </c>
      <c r="W11" s="28">
        <f t="shared" si="2"/>
        <v>0</v>
      </c>
      <c r="X11" s="28">
        <f t="shared" si="2"/>
        <v>0</v>
      </c>
      <c r="Y11" s="28">
        <f t="shared" si="2"/>
        <v>0</v>
      </c>
      <c r="Z11" s="28">
        <f t="shared" si="2"/>
        <v>0</v>
      </c>
      <c r="AA11" s="28">
        <f t="shared" si="2"/>
        <v>0</v>
      </c>
      <c r="AB11" s="28">
        <f t="shared" si="2"/>
        <v>0</v>
      </c>
      <c r="AC11" s="28">
        <f t="shared" si="2"/>
        <v>0</v>
      </c>
      <c r="AD11" s="28">
        <f t="shared" si="2"/>
        <v>0</v>
      </c>
      <c r="AE11" s="28">
        <f t="shared" si="2"/>
        <v>0</v>
      </c>
      <c r="AF11" s="28">
        <f t="shared" si="2"/>
        <v>0</v>
      </c>
      <c r="AG11" s="28">
        <f t="shared" si="2"/>
        <v>0</v>
      </c>
      <c r="AH11" s="28">
        <f t="shared" si="2"/>
        <v>0</v>
      </c>
      <c r="AI11" s="29">
        <f t="shared" si="2"/>
        <v>0</v>
      </c>
    </row>
    <row r="12" spans="1:35" x14ac:dyDescent="0.25">
      <c r="A12" s="97">
        <v>2</v>
      </c>
      <c r="B12" s="60">
        <v>1</v>
      </c>
      <c r="C12" s="16">
        <v>0</v>
      </c>
      <c r="D12" s="67">
        <f>CEILING(1+MIN(Y$10,T$10-C12-1)+MAX((T$10-C12-1-Y$10)/$M$1,0),1)</f>
        <v>16</v>
      </c>
      <c r="E12" s="63">
        <f>MAX(($G$1/($F$1*D12))^(1/(ROUNDUP(D12/3,)-1)),2/3)</f>
        <v>0.66666666666666663</v>
      </c>
      <c r="F12" s="28">
        <f t="shared" ref="F12:U13" si="3">IF(CEILING($B12*$D12*(1+IF($N$10=$D$1,IF($Y$10*$AD$10&gt;=$K$1,0.4,IF($Y$10*$AD$10&gt;=$J$1,0.2,0)),0))/3,1)&gt;=F$2,CEILING($F$1*IF($Y$10*$AD$10&gt;=$I$1,1,IF($Y$10*$AD$10&gt;=$H$1,0.5,0))*(1+IF($N$10=$D$1,IF($Y$10*$AD$10&gt;=$K$1,0.4,IF($Y$10*$AD$10&gt;=$J$1,0.2,0)),0))*$B12*$D12*$E12^(F$2-1),0.1),0)</f>
        <v>16</v>
      </c>
      <c r="G12" s="28">
        <f t="shared" si="3"/>
        <v>10.700000000000001</v>
      </c>
      <c r="H12" s="28">
        <f t="shared" si="3"/>
        <v>7.2</v>
      </c>
      <c r="I12" s="28">
        <f t="shared" si="3"/>
        <v>4.8000000000000007</v>
      </c>
      <c r="J12" s="28">
        <f t="shared" si="3"/>
        <v>3.2</v>
      </c>
      <c r="K12" s="28">
        <f t="shared" si="3"/>
        <v>2.2000000000000002</v>
      </c>
      <c r="L12" s="28">
        <f t="shared" si="3"/>
        <v>0</v>
      </c>
      <c r="M12" s="28">
        <f t="shared" si="3"/>
        <v>0</v>
      </c>
      <c r="N12" s="28">
        <f t="shared" si="3"/>
        <v>0</v>
      </c>
      <c r="O12" s="28">
        <f t="shared" si="3"/>
        <v>0</v>
      </c>
      <c r="P12" s="28">
        <f t="shared" si="3"/>
        <v>0</v>
      </c>
      <c r="Q12" s="28">
        <f t="shared" si="3"/>
        <v>0</v>
      </c>
      <c r="R12" s="28">
        <f t="shared" si="3"/>
        <v>0</v>
      </c>
      <c r="S12" s="28">
        <f t="shared" si="3"/>
        <v>0</v>
      </c>
      <c r="T12" s="28">
        <f t="shared" si="3"/>
        <v>0</v>
      </c>
      <c r="U12" s="28">
        <f t="shared" si="3"/>
        <v>0</v>
      </c>
      <c r="V12" s="28">
        <f t="shared" si="2"/>
        <v>0</v>
      </c>
      <c r="W12" s="28">
        <f t="shared" si="2"/>
        <v>0</v>
      </c>
      <c r="X12" s="28">
        <f t="shared" si="2"/>
        <v>0</v>
      </c>
      <c r="Y12" s="28">
        <f t="shared" si="2"/>
        <v>0</v>
      </c>
      <c r="Z12" s="28">
        <f t="shared" si="2"/>
        <v>0</v>
      </c>
      <c r="AA12" s="28">
        <f t="shared" si="2"/>
        <v>0</v>
      </c>
      <c r="AB12" s="28">
        <f t="shared" si="2"/>
        <v>0</v>
      </c>
      <c r="AC12" s="28">
        <f t="shared" si="2"/>
        <v>0</v>
      </c>
      <c r="AD12" s="28">
        <f t="shared" si="2"/>
        <v>0</v>
      </c>
      <c r="AE12" s="28">
        <f t="shared" si="2"/>
        <v>0</v>
      </c>
      <c r="AF12" s="28">
        <f t="shared" si="2"/>
        <v>0</v>
      </c>
      <c r="AG12" s="28">
        <f t="shared" si="2"/>
        <v>0</v>
      </c>
      <c r="AH12" s="28">
        <f t="shared" si="2"/>
        <v>0</v>
      </c>
      <c r="AI12" s="29">
        <f t="shared" si="2"/>
        <v>0</v>
      </c>
    </row>
    <row r="13" spans="1:35" x14ac:dyDescent="0.25">
      <c r="A13" s="97">
        <v>3</v>
      </c>
      <c r="B13" s="60">
        <v>0.85</v>
      </c>
      <c r="C13" s="16">
        <v>0</v>
      </c>
      <c r="D13" s="67">
        <f>CEILING(1+MIN(Y$10,T$10-C13-1)+MAX((T$10-C13-1-Y$10)/$M$1,0),1)</f>
        <v>16</v>
      </c>
      <c r="E13" s="63">
        <f>MAX(($G$1/($F$1*D13))^(1/(ROUNDUP(D13/3,)-1)),2/3)</f>
        <v>0.66666666666666663</v>
      </c>
      <c r="F13" s="28">
        <f t="shared" si="3"/>
        <v>13.600000000000001</v>
      </c>
      <c r="G13" s="28">
        <f t="shared" si="2"/>
        <v>9.1</v>
      </c>
      <c r="H13" s="28">
        <f t="shared" si="2"/>
        <v>6.1000000000000005</v>
      </c>
      <c r="I13" s="28">
        <f t="shared" si="2"/>
        <v>4.1000000000000005</v>
      </c>
      <c r="J13" s="28">
        <f t="shared" si="2"/>
        <v>2.7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28">
        <f t="shared" si="2"/>
        <v>0</v>
      </c>
      <c r="Q13" s="28">
        <f t="shared" si="2"/>
        <v>0</v>
      </c>
      <c r="R13" s="28">
        <f t="shared" si="2"/>
        <v>0</v>
      </c>
      <c r="S13" s="28">
        <f t="shared" si="2"/>
        <v>0</v>
      </c>
      <c r="T13" s="28">
        <f t="shared" si="2"/>
        <v>0</v>
      </c>
      <c r="U13" s="28">
        <f t="shared" si="2"/>
        <v>0</v>
      </c>
      <c r="V13" s="28">
        <f t="shared" si="2"/>
        <v>0</v>
      </c>
      <c r="W13" s="28">
        <f t="shared" si="2"/>
        <v>0</v>
      </c>
      <c r="X13" s="28">
        <f t="shared" si="2"/>
        <v>0</v>
      </c>
      <c r="Y13" s="28">
        <f t="shared" si="2"/>
        <v>0</v>
      </c>
      <c r="Z13" s="28">
        <f t="shared" si="2"/>
        <v>0</v>
      </c>
      <c r="AA13" s="28">
        <f t="shared" si="2"/>
        <v>0</v>
      </c>
      <c r="AB13" s="28">
        <f t="shared" si="2"/>
        <v>0</v>
      </c>
      <c r="AC13" s="28">
        <f t="shared" si="2"/>
        <v>0</v>
      </c>
      <c r="AD13" s="28">
        <f t="shared" si="2"/>
        <v>0</v>
      </c>
      <c r="AE13" s="28">
        <f t="shared" si="2"/>
        <v>0</v>
      </c>
      <c r="AF13" s="28">
        <f t="shared" si="2"/>
        <v>0</v>
      </c>
      <c r="AG13" s="28">
        <f t="shared" si="2"/>
        <v>0</v>
      </c>
      <c r="AH13" s="28">
        <f t="shared" si="2"/>
        <v>0</v>
      </c>
      <c r="AI13" s="29">
        <f t="shared" si="2"/>
        <v>0</v>
      </c>
    </row>
    <row r="14" spans="1:35" x14ac:dyDescent="0.25">
      <c r="A14" s="97"/>
      <c r="B14" s="60"/>
      <c r="C14" s="6"/>
      <c r="D14" s="68"/>
      <c r="E14" s="64"/>
      <c r="F14" s="3"/>
      <c r="G14" s="3"/>
      <c r="H14" s="3"/>
      <c r="I14" s="3"/>
      <c r="J14" s="8"/>
      <c r="K14" s="8"/>
      <c r="L14" s="8"/>
      <c r="M14" s="8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4"/>
    </row>
    <row r="15" spans="1:35" x14ac:dyDescent="0.25">
      <c r="A15" s="97"/>
      <c r="B15" s="60"/>
      <c r="C15" s="6"/>
      <c r="D15" s="68"/>
      <c r="E15" s="64"/>
      <c r="F15" s="112" t="s">
        <v>11</v>
      </c>
      <c r="G15" s="112"/>
      <c r="H15" s="112"/>
      <c r="I15" s="25">
        <v>4</v>
      </c>
      <c r="J15" s="113" t="s">
        <v>3</v>
      </c>
      <c r="K15" s="113"/>
      <c r="L15" s="113"/>
      <c r="M15" s="113"/>
      <c r="N15" s="118" t="s">
        <v>5</v>
      </c>
      <c r="O15" s="118"/>
      <c r="P15" s="116" t="s">
        <v>1</v>
      </c>
      <c r="Q15" s="116"/>
      <c r="R15" s="116"/>
      <c r="S15" s="116"/>
      <c r="T15" s="15">
        <v>16</v>
      </c>
      <c r="U15" s="116" t="s">
        <v>2</v>
      </c>
      <c r="V15" s="116"/>
      <c r="W15" s="116"/>
      <c r="X15" s="116"/>
      <c r="Y15" s="15">
        <v>15</v>
      </c>
      <c r="Z15" s="116" t="s">
        <v>4</v>
      </c>
      <c r="AA15" s="116"/>
      <c r="AB15" s="116"/>
      <c r="AC15" s="116"/>
      <c r="AD15" s="15">
        <v>3</v>
      </c>
      <c r="AE15" s="26"/>
      <c r="AF15" s="26"/>
      <c r="AG15" s="26"/>
      <c r="AH15" s="26"/>
      <c r="AI15" s="27"/>
    </row>
    <row r="16" spans="1:35" x14ac:dyDescent="0.25">
      <c r="A16" s="97">
        <v>1</v>
      </c>
      <c r="B16" s="60">
        <v>1.1499999999999999</v>
      </c>
      <c r="C16" s="16">
        <v>0</v>
      </c>
      <c r="D16" s="67">
        <f>CEILING(1+MIN(Y$15,T$15-C16-1)+MAX((T$15-C16-1-Y$15)/$M$1,0),1)</f>
        <v>16</v>
      </c>
      <c r="E16" s="63">
        <f>MAX(($G$1/($F$1*D16))^(1/(ROUNDUP(D16/3,)-1)),2/3)</f>
        <v>0.66666666666666663</v>
      </c>
      <c r="F16" s="28">
        <f>IF(CEILING($B16*$D16*(1+IF($N$15=$D$1,IF($Y$15*$AD$15&gt;=$K$1,0.4,IF($Y$15*$AD$15&gt;=$J$1,0.2,0)),0))/3,1)&gt;=F$2,CEILING($F$1*IF($Y$15*$AD$15&gt;=$I$1,1,IF($Y$15*$AD$15&gt;=$H$1,0.5,0))*(1+IF($N$15=$D$1,IF($Y$15*$AD$15&gt;=$K$1,0.4,IF($Y$15*$AD$15&gt;=$J$1,0.2,0)),0))*$B16*$D16*$E16^(F$2-1),0.1),0)</f>
        <v>18.400000000000002</v>
      </c>
      <c r="G16" s="28">
        <f t="shared" ref="G16:AI19" si="4">IF(CEILING($B16*$D16*(1+IF($N$15=$D$1,IF($Y$15*$AD$15&gt;=$K$1,0.4,IF($Y$15*$AD$15&gt;=$J$1,0.2,0)),0))/3,1)&gt;=G$2,CEILING($F$1*IF($Y$15*$AD$15&gt;=$I$1,1,IF($Y$15*$AD$15&gt;=$H$1,0.5,0))*(1+IF($N$15=$D$1,IF($Y$15*$AD$15&gt;=$K$1,0.4,IF($Y$15*$AD$15&gt;=$J$1,0.2,0)),0))*$B16*$D16*$E16^(G$2-1),0.1),0)</f>
        <v>12.3</v>
      </c>
      <c r="H16" s="28">
        <f t="shared" si="4"/>
        <v>8.2000000000000011</v>
      </c>
      <c r="I16" s="28">
        <f t="shared" si="4"/>
        <v>5.5</v>
      </c>
      <c r="J16" s="28">
        <f t="shared" si="4"/>
        <v>3.7</v>
      </c>
      <c r="K16" s="28">
        <f t="shared" si="4"/>
        <v>2.5</v>
      </c>
      <c r="L16" s="28">
        <f t="shared" si="4"/>
        <v>1.7000000000000002</v>
      </c>
      <c r="M16" s="28">
        <f t="shared" si="4"/>
        <v>0</v>
      </c>
      <c r="N16" s="28">
        <f t="shared" si="4"/>
        <v>0</v>
      </c>
      <c r="O16" s="28">
        <f t="shared" si="4"/>
        <v>0</v>
      </c>
      <c r="P16" s="28">
        <f t="shared" si="4"/>
        <v>0</v>
      </c>
      <c r="Q16" s="28">
        <f t="shared" si="4"/>
        <v>0</v>
      </c>
      <c r="R16" s="28">
        <f t="shared" si="4"/>
        <v>0</v>
      </c>
      <c r="S16" s="28">
        <f t="shared" si="4"/>
        <v>0</v>
      </c>
      <c r="T16" s="28">
        <f t="shared" si="4"/>
        <v>0</v>
      </c>
      <c r="U16" s="28">
        <f t="shared" si="4"/>
        <v>0</v>
      </c>
      <c r="V16" s="28">
        <f t="shared" si="4"/>
        <v>0</v>
      </c>
      <c r="W16" s="28">
        <f t="shared" si="4"/>
        <v>0</v>
      </c>
      <c r="X16" s="28">
        <f t="shared" si="4"/>
        <v>0</v>
      </c>
      <c r="Y16" s="28">
        <f t="shared" si="4"/>
        <v>0</v>
      </c>
      <c r="Z16" s="28">
        <f t="shared" si="4"/>
        <v>0</v>
      </c>
      <c r="AA16" s="28">
        <f t="shared" si="4"/>
        <v>0</v>
      </c>
      <c r="AB16" s="28">
        <f t="shared" si="4"/>
        <v>0</v>
      </c>
      <c r="AC16" s="28">
        <f t="shared" si="4"/>
        <v>0</v>
      </c>
      <c r="AD16" s="28">
        <f t="shared" si="4"/>
        <v>0</v>
      </c>
      <c r="AE16" s="28">
        <f t="shared" si="4"/>
        <v>0</v>
      </c>
      <c r="AF16" s="28">
        <f t="shared" si="4"/>
        <v>0</v>
      </c>
      <c r="AG16" s="28">
        <f t="shared" si="4"/>
        <v>0</v>
      </c>
      <c r="AH16" s="28">
        <f t="shared" si="4"/>
        <v>0</v>
      </c>
      <c r="AI16" s="29">
        <f t="shared" si="4"/>
        <v>0</v>
      </c>
    </row>
    <row r="17" spans="1:35" x14ac:dyDescent="0.25">
      <c r="A17" s="97">
        <v>2</v>
      </c>
      <c r="B17" s="60">
        <v>1.05</v>
      </c>
      <c r="C17" s="16">
        <v>0</v>
      </c>
      <c r="D17" s="67">
        <f>CEILING(1+MIN(Y$15,T$15-C17-1)+MAX((T$15-C17-1-Y$15)/$M$1,0),1)</f>
        <v>16</v>
      </c>
      <c r="E17" s="63">
        <f>MAX(($G$1/($F$1*D17))^(1/(ROUNDUP(D17/3,)-1)),2/3)</f>
        <v>0.66666666666666663</v>
      </c>
      <c r="F17" s="28">
        <f t="shared" ref="F17:U19" si="5">IF(CEILING($B17*$D17*(1+IF($N$15=$D$1,IF($Y$15*$AD$15&gt;=$K$1,0.4,IF($Y$15*$AD$15&gt;=$J$1,0.2,0)),0))/3,1)&gt;=F$2,CEILING($F$1*IF($Y$15*$AD$15&gt;=$I$1,1,IF($Y$15*$AD$15&gt;=$H$1,0.5,0))*(1+IF($N$15=$D$1,IF($Y$15*$AD$15&gt;=$K$1,0.4,IF($Y$15*$AD$15&gt;=$J$1,0.2,0)),0))*$B17*$D17*$E17^(F$2-1),0.1),0)</f>
        <v>16.8</v>
      </c>
      <c r="G17" s="28">
        <f t="shared" si="5"/>
        <v>11.200000000000001</v>
      </c>
      <c r="H17" s="28">
        <f t="shared" si="5"/>
        <v>7.5</v>
      </c>
      <c r="I17" s="28">
        <f t="shared" si="5"/>
        <v>5</v>
      </c>
      <c r="J17" s="28">
        <f t="shared" si="5"/>
        <v>3.4000000000000004</v>
      </c>
      <c r="K17" s="28">
        <f t="shared" si="5"/>
        <v>2.3000000000000003</v>
      </c>
      <c r="L17" s="28">
        <f t="shared" si="5"/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4"/>
        <v>0</v>
      </c>
      <c r="W17" s="28">
        <f t="shared" si="4"/>
        <v>0</v>
      </c>
      <c r="X17" s="28">
        <f t="shared" si="4"/>
        <v>0</v>
      </c>
      <c r="Y17" s="28">
        <f t="shared" si="4"/>
        <v>0</v>
      </c>
      <c r="Z17" s="28">
        <f t="shared" si="4"/>
        <v>0</v>
      </c>
      <c r="AA17" s="28">
        <f t="shared" si="4"/>
        <v>0</v>
      </c>
      <c r="AB17" s="28">
        <f t="shared" si="4"/>
        <v>0</v>
      </c>
      <c r="AC17" s="28">
        <f t="shared" si="4"/>
        <v>0</v>
      </c>
      <c r="AD17" s="28">
        <f t="shared" si="4"/>
        <v>0</v>
      </c>
      <c r="AE17" s="28">
        <f t="shared" si="4"/>
        <v>0</v>
      </c>
      <c r="AF17" s="28">
        <f t="shared" si="4"/>
        <v>0</v>
      </c>
      <c r="AG17" s="28">
        <f t="shared" si="4"/>
        <v>0</v>
      </c>
      <c r="AH17" s="28">
        <f t="shared" si="4"/>
        <v>0</v>
      </c>
      <c r="AI17" s="29">
        <f t="shared" si="4"/>
        <v>0</v>
      </c>
    </row>
    <row r="18" spans="1:35" x14ac:dyDescent="0.25">
      <c r="A18" s="97">
        <v>3</v>
      </c>
      <c r="B18" s="60">
        <v>0.95</v>
      </c>
      <c r="C18" s="16">
        <v>0</v>
      </c>
      <c r="D18" s="67">
        <f>CEILING(1+MIN(Y$15,T$15-C18-1)+MAX((T$15-C18-1-Y$15)/$M$1,0),1)</f>
        <v>16</v>
      </c>
      <c r="E18" s="63">
        <f>MAX(($G$1/($F$1*D18))^(1/(ROUNDUP(D18/3,)-1)),2/3)</f>
        <v>0.66666666666666663</v>
      </c>
      <c r="F18" s="28">
        <f t="shared" si="5"/>
        <v>15.200000000000001</v>
      </c>
      <c r="G18" s="28">
        <f t="shared" si="4"/>
        <v>10.200000000000001</v>
      </c>
      <c r="H18" s="28">
        <f t="shared" si="4"/>
        <v>6.8000000000000007</v>
      </c>
      <c r="I18" s="28">
        <f t="shared" si="4"/>
        <v>4.6000000000000005</v>
      </c>
      <c r="J18" s="28">
        <f t="shared" si="4"/>
        <v>3.1</v>
      </c>
      <c r="K18" s="28">
        <f t="shared" si="4"/>
        <v>2.1</v>
      </c>
      <c r="L18" s="28">
        <f t="shared" si="4"/>
        <v>0</v>
      </c>
      <c r="M18" s="28">
        <f t="shared" si="4"/>
        <v>0</v>
      </c>
      <c r="N18" s="28">
        <f t="shared" si="4"/>
        <v>0</v>
      </c>
      <c r="O18" s="28">
        <f t="shared" si="4"/>
        <v>0</v>
      </c>
      <c r="P18" s="28">
        <f t="shared" si="4"/>
        <v>0</v>
      </c>
      <c r="Q18" s="28">
        <f t="shared" si="4"/>
        <v>0</v>
      </c>
      <c r="R18" s="28">
        <f t="shared" si="4"/>
        <v>0</v>
      </c>
      <c r="S18" s="28">
        <f t="shared" si="4"/>
        <v>0</v>
      </c>
      <c r="T18" s="28">
        <f t="shared" si="4"/>
        <v>0</v>
      </c>
      <c r="U18" s="28">
        <f t="shared" si="4"/>
        <v>0</v>
      </c>
      <c r="V18" s="28">
        <f t="shared" si="4"/>
        <v>0</v>
      </c>
      <c r="W18" s="28">
        <f t="shared" si="4"/>
        <v>0</v>
      </c>
      <c r="X18" s="28">
        <f t="shared" si="4"/>
        <v>0</v>
      </c>
      <c r="Y18" s="28">
        <f t="shared" si="4"/>
        <v>0</v>
      </c>
      <c r="Z18" s="28">
        <f t="shared" si="4"/>
        <v>0</v>
      </c>
      <c r="AA18" s="28">
        <f t="shared" si="4"/>
        <v>0</v>
      </c>
      <c r="AB18" s="28">
        <f t="shared" si="4"/>
        <v>0</v>
      </c>
      <c r="AC18" s="28">
        <f t="shared" si="4"/>
        <v>0</v>
      </c>
      <c r="AD18" s="28">
        <f t="shared" si="4"/>
        <v>0</v>
      </c>
      <c r="AE18" s="28">
        <f t="shared" si="4"/>
        <v>0</v>
      </c>
      <c r="AF18" s="28">
        <f t="shared" si="4"/>
        <v>0</v>
      </c>
      <c r="AG18" s="28">
        <f t="shared" si="4"/>
        <v>0</v>
      </c>
      <c r="AH18" s="28">
        <f t="shared" si="4"/>
        <v>0</v>
      </c>
      <c r="AI18" s="29">
        <f t="shared" si="4"/>
        <v>0</v>
      </c>
    </row>
    <row r="19" spans="1:35" x14ac:dyDescent="0.25">
      <c r="A19" s="97">
        <v>4</v>
      </c>
      <c r="B19" s="60">
        <v>0.85</v>
      </c>
      <c r="C19" s="16">
        <v>0</v>
      </c>
      <c r="D19" s="67">
        <f>CEILING(1+MIN(Y$15,T$15-C19-1)+MAX((T$15-C19-1-Y$15)/$M$1,0),1)</f>
        <v>16</v>
      </c>
      <c r="E19" s="63">
        <f>MAX(($G$1/($F$1*D19))^(1/(ROUNDUP(D19/3,)-1)),2/3)</f>
        <v>0.66666666666666663</v>
      </c>
      <c r="F19" s="28">
        <f t="shared" si="5"/>
        <v>13.600000000000001</v>
      </c>
      <c r="G19" s="28">
        <f t="shared" si="4"/>
        <v>9.1</v>
      </c>
      <c r="H19" s="28">
        <f t="shared" si="4"/>
        <v>6.1000000000000005</v>
      </c>
      <c r="I19" s="28">
        <f t="shared" si="4"/>
        <v>4.1000000000000005</v>
      </c>
      <c r="J19" s="28">
        <f t="shared" si="4"/>
        <v>2.7</v>
      </c>
      <c r="K19" s="28">
        <f t="shared" si="4"/>
        <v>0</v>
      </c>
      <c r="L19" s="28">
        <f t="shared" si="4"/>
        <v>0</v>
      </c>
      <c r="M19" s="28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8">
        <f t="shared" si="4"/>
        <v>0</v>
      </c>
      <c r="T19" s="28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8">
        <f t="shared" si="4"/>
        <v>0</v>
      </c>
      <c r="AA19" s="28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8">
        <f t="shared" si="4"/>
        <v>0</v>
      </c>
      <c r="AH19" s="28">
        <f t="shared" si="4"/>
        <v>0</v>
      </c>
      <c r="AI19" s="29">
        <f t="shared" si="4"/>
        <v>0</v>
      </c>
    </row>
    <row r="20" spans="1:35" x14ac:dyDescent="0.25">
      <c r="A20" s="97"/>
      <c r="B20" s="60"/>
      <c r="C20" s="6"/>
      <c r="D20" s="68"/>
      <c r="E20" s="64"/>
      <c r="F20" s="3"/>
      <c r="G20" s="3"/>
      <c r="H20" s="3"/>
      <c r="I20" s="3"/>
      <c r="J20" s="8"/>
      <c r="K20" s="8"/>
      <c r="L20" s="8"/>
      <c r="M20" s="8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4"/>
    </row>
    <row r="21" spans="1:35" x14ac:dyDescent="0.25">
      <c r="A21" s="97"/>
      <c r="B21" s="60"/>
      <c r="C21" s="6"/>
      <c r="D21" s="68"/>
      <c r="E21" s="64"/>
      <c r="F21" s="112" t="s">
        <v>11</v>
      </c>
      <c r="G21" s="112"/>
      <c r="H21" s="112"/>
      <c r="I21" s="25">
        <v>5</v>
      </c>
      <c r="J21" s="113" t="s">
        <v>3</v>
      </c>
      <c r="K21" s="113"/>
      <c r="L21" s="113"/>
      <c r="M21" s="113"/>
      <c r="N21" s="118" t="s">
        <v>5</v>
      </c>
      <c r="O21" s="118"/>
      <c r="P21" s="116" t="s">
        <v>1</v>
      </c>
      <c r="Q21" s="116"/>
      <c r="R21" s="116"/>
      <c r="S21" s="116"/>
      <c r="T21" s="15">
        <v>16</v>
      </c>
      <c r="U21" s="116" t="s">
        <v>2</v>
      </c>
      <c r="V21" s="116"/>
      <c r="W21" s="116"/>
      <c r="X21" s="116"/>
      <c r="Y21" s="15">
        <v>15</v>
      </c>
      <c r="Z21" s="116" t="s">
        <v>4</v>
      </c>
      <c r="AA21" s="116"/>
      <c r="AB21" s="116"/>
      <c r="AC21" s="116"/>
      <c r="AD21" s="15">
        <v>3</v>
      </c>
      <c r="AE21" s="26"/>
      <c r="AF21" s="26"/>
      <c r="AG21" s="26"/>
      <c r="AH21" s="26"/>
      <c r="AI21" s="27"/>
    </row>
    <row r="22" spans="1:35" x14ac:dyDescent="0.25">
      <c r="A22" s="97">
        <v>1</v>
      </c>
      <c r="B22" s="60">
        <v>1.2</v>
      </c>
      <c r="C22" s="16">
        <v>0</v>
      </c>
      <c r="D22" s="67">
        <f>CEILING(1+MIN(Y$21,T$21-C22-1)+MAX((T$21-C22-1-Y$21)/$M$1,0),1)</f>
        <v>16</v>
      </c>
      <c r="E22" s="63">
        <f>MAX(($G$1/($F$1*D22))^(1/(ROUNDUP(D22/3,)-1)),2/3)</f>
        <v>0.66666666666666663</v>
      </c>
      <c r="F22" s="28">
        <f>IF(CEILING($B22*$D22*(1+IF($N$21=$D$1,IF($Y$21*$AD$21&gt;=$K$1,0.4,IF($Y$21*$AD$21&gt;=$J$1,0.2,0)),0))/3,1)&gt;=F$2,CEILING($F$1*IF($Y$21*$AD$21&gt;=$I$1,1,IF($Y$21*$AD$21&gt;=$H$1,0.5,0))*(1+IF($N$21=$D$1,IF($Y$21*$AD$21&gt;=$K$1,0.4,IF($Y$21*$AD$21&gt;=$J$1,0.2,0)),0))*$B22*$D22*$E22^(F$2-1),0.1),0)</f>
        <v>19.200000000000003</v>
      </c>
      <c r="G22" s="28">
        <f t="shared" ref="G22:AI26" si="6">IF(CEILING($B22*$D22*(1+IF($N$21=$D$1,IF($Y$21*$AD$21&gt;=$K$1,0.4,IF($Y$21*$AD$21&gt;=$J$1,0.2,0)),0))/3,1)&gt;=G$2,CEILING($F$1*IF($Y$21*$AD$21&gt;=$I$1,1,IF($Y$21*$AD$21&gt;=$H$1,0.5,0))*(1+IF($N$21=$D$1,IF($Y$21*$AD$21&gt;=$K$1,0.4,IF($Y$21*$AD$21&gt;=$J$1,0.2,0)),0))*$B22*$D22*$E22^(G$2-1),0.1),0)</f>
        <v>12.8</v>
      </c>
      <c r="H22" s="28">
        <f t="shared" si="6"/>
        <v>8.6</v>
      </c>
      <c r="I22" s="28">
        <f t="shared" si="6"/>
        <v>5.7</v>
      </c>
      <c r="J22" s="28">
        <f t="shared" si="6"/>
        <v>3.8000000000000003</v>
      </c>
      <c r="K22" s="28">
        <f t="shared" si="6"/>
        <v>2.6</v>
      </c>
      <c r="L22" s="28">
        <f t="shared" si="6"/>
        <v>1.7000000000000002</v>
      </c>
      <c r="M22" s="28">
        <f t="shared" si="6"/>
        <v>0</v>
      </c>
      <c r="N22" s="28">
        <f t="shared" si="6"/>
        <v>0</v>
      </c>
      <c r="O22" s="28">
        <f t="shared" si="6"/>
        <v>0</v>
      </c>
      <c r="P22" s="28">
        <f t="shared" si="6"/>
        <v>0</v>
      </c>
      <c r="Q22" s="28">
        <f t="shared" si="6"/>
        <v>0</v>
      </c>
      <c r="R22" s="28">
        <f t="shared" si="6"/>
        <v>0</v>
      </c>
      <c r="S22" s="28">
        <f t="shared" si="6"/>
        <v>0</v>
      </c>
      <c r="T22" s="28">
        <f t="shared" si="6"/>
        <v>0</v>
      </c>
      <c r="U22" s="28">
        <f t="shared" si="6"/>
        <v>0</v>
      </c>
      <c r="V22" s="28">
        <f t="shared" si="6"/>
        <v>0</v>
      </c>
      <c r="W22" s="28">
        <f t="shared" si="6"/>
        <v>0</v>
      </c>
      <c r="X22" s="28">
        <f t="shared" si="6"/>
        <v>0</v>
      </c>
      <c r="Y22" s="28">
        <f t="shared" si="6"/>
        <v>0</v>
      </c>
      <c r="Z22" s="28">
        <f t="shared" si="6"/>
        <v>0</v>
      </c>
      <c r="AA22" s="28">
        <f t="shared" si="6"/>
        <v>0</v>
      </c>
      <c r="AB22" s="28">
        <f t="shared" si="6"/>
        <v>0</v>
      </c>
      <c r="AC22" s="28">
        <f t="shared" si="6"/>
        <v>0</v>
      </c>
      <c r="AD22" s="28">
        <f t="shared" si="6"/>
        <v>0</v>
      </c>
      <c r="AE22" s="28">
        <f t="shared" si="6"/>
        <v>0</v>
      </c>
      <c r="AF22" s="28">
        <f t="shared" si="6"/>
        <v>0</v>
      </c>
      <c r="AG22" s="28">
        <f t="shared" si="6"/>
        <v>0</v>
      </c>
      <c r="AH22" s="28">
        <f t="shared" si="6"/>
        <v>0</v>
      </c>
      <c r="AI22" s="29">
        <f t="shared" si="6"/>
        <v>0</v>
      </c>
    </row>
    <row r="23" spans="1:35" x14ac:dyDescent="0.25">
      <c r="A23" s="97">
        <v>2</v>
      </c>
      <c r="B23" s="60">
        <v>1.1000000000000001</v>
      </c>
      <c r="C23" s="16">
        <v>0</v>
      </c>
      <c r="D23" s="67">
        <f>CEILING(1+MIN(Y$21,T$21-C23-1)+MAX((T$21-C23-1-Y$21)/$M$1,0),1)</f>
        <v>16</v>
      </c>
      <c r="E23" s="63">
        <f>MAX(($G$1/($F$1*D23))^(1/(ROUNDUP(D23/3,)-1)),2/3)</f>
        <v>0.66666666666666663</v>
      </c>
      <c r="F23" s="28">
        <f t="shared" ref="F23:U26" si="7">IF(CEILING($B23*$D23*(1+IF($N$21=$D$1,IF($Y$21*$AD$21&gt;=$K$1,0.4,IF($Y$21*$AD$21&gt;=$J$1,0.2,0)),0))/3,1)&gt;=F$2,CEILING($F$1*IF($Y$21*$AD$21&gt;=$I$1,1,IF($Y$21*$AD$21&gt;=$H$1,0.5,0))*(1+IF($N$21=$D$1,IF($Y$21*$AD$21&gt;=$K$1,0.4,IF($Y$21*$AD$21&gt;=$J$1,0.2,0)),0))*$B23*$D23*$E23^(F$2-1),0.1),0)</f>
        <v>17.600000000000001</v>
      </c>
      <c r="G23" s="28">
        <f t="shared" si="7"/>
        <v>11.8</v>
      </c>
      <c r="H23" s="28">
        <f t="shared" si="7"/>
        <v>7.9</v>
      </c>
      <c r="I23" s="28">
        <f t="shared" si="7"/>
        <v>5.3000000000000007</v>
      </c>
      <c r="J23" s="28">
        <f t="shared" si="7"/>
        <v>3.5</v>
      </c>
      <c r="K23" s="28">
        <f t="shared" si="7"/>
        <v>2.4000000000000004</v>
      </c>
      <c r="L23" s="28">
        <f t="shared" si="7"/>
        <v>0</v>
      </c>
      <c r="M23" s="28">
        <f t="shared" si="7"/>
        <v>0</v>
      </c>
      <c r="N23" s="28">
        <f t="shared" si="7"/>
        <v>0</v>
      </c>
      <c r="O23" s="28">
        <f t="shared" si="7"/>
        <v>0</v>
      </c>
      <c r="P23" s="28">
        <f t="shared" si="7"/>
        <v>0</v>
      </c>
      <c r="Q23" s="28">
        <f t="shared" si="7"/>
        <v>0</v>
      </c>
      <c r="R23" s="28">
        <f t="shared" si="7"/>
        <v>0</v>
      </c>
      <c r="S23" s="28">
        <f t="shared" si="7"/>
        <v>0</v>
      </c>
      <c r="T23" s="28">
        <f t="shared" si="7"/>
        <v>0</v>
      </c>
      <c r="U23" s="28">
        <f t="shared" si="7"/>
        <v>0</v>
      </c>
      <c r="V23" s="28">
        <f t="shared" si="6"/>
        <v>0</v>
      </c>
      <c r="W23" s="28">
        <f t="shared" si="6"/>
        <v>0</v>
      </c>
      <c r="X23" s="28">
        <f t="shared" si="6"/>
        <v>0</v>
      </c>
      <c r="Y23" s="28">
        <f t="shared" si="6"/>
        <v>0</v>
      </c>
      <c r="Z23" s="28">
        <f t="shared" si="6"/>
        <v>0</v>
      </c>
      <c r="AA23" s="28">
        <f t="shared" si="6"/>
        <v>0</v>
      </c>
      <c r="AB23" s="28">
        <f t="shared" si="6"/>
        <v>0</v>
      </c>
      <c r="AC23" s="28">
        <f t="shared" si="6"/>
        <v>0</v>
      </c>
      <c r="AD23" s="28">
        <f t="shared" si="6"/>
        <v>0</v>
      </c>
      <c r="AE23" s="28">
        <f t="shared" si="6"/>
        <v>0</v>
      </c>
      <c r="AF23" s="28">
        <f t="shared" si="6"/>
        <v>0</v>
      </c>
      <c r="AG23" s="28">
        <f t="shared" si="6"/>
        <v>0</v>
      </c>
      <c r="AH23" s="28">
        <f t="shared" si="6"/>
        <v>0</v>
      </c>
      <c r="AI23" s="29">
        <f t="shared" si="6"/>
        <v>0</v>
      </c>
    </row>
    <row r="24" spans="1:35" x14ac:dyDescent="0.25">
      <c r="A24" s="97">
        <v>3</v>
      </c>
      <c r="B24" s="60">
        <v>1</v>
      </c>
      <c r="C24" s="16">
        <v>0</v>
      </c>
      <c r="D24" s="67">
        <f>CEILING(1+MIN(Y$21,T$21-C24-1)+MAX((T$21-C24-1-Y$21)/$M$1,0),1)</f>
        <v>16</v>
      </c>
      <c r="E24" s="63">
        <f>MAX(($G$1/($F$1*D24))^(1/(ROUNDUP(D24/3,)-1)),2/3)</f>
        <v>0.66666666666666663</v>
      </c>
      <c r="F24" s="28">
        <f t="shared" si="7"/>
        <v>16</v>
      </c>
      <c r="G24" s="28">
        <f t="shared" si="6"/>
        <v>10.700000000000001</v>
      </c>
      <c r="H24" s="28">
        <f t="shared" si="6"/>
        <v>7.2</v>
      </c>
      <c r="I24" s="28">
        <f t="shared" si="6"/>
        <v>4.8000000000000007</v>
      </c>
      <c r="J24" s="28">
        <f t="shared" si="6"/>
        <v>3.2</v>
      </c>
      <c r="K24" s="28">
        <f t="shared" si="6"/>
        <v>2.2000000000000002</v>
      </c>
      <c r="L24" s="28">
        <f t="shared" si="6"/>
        <v>0</v>
      </c>
      <c r="M24" s="28">
        <f t="shared" si="6"/>
        <v>0</v>
      </c>
      <c r="N24" s="28">
        <f t="shared" si="6"/>
        <v>0</v>
      </c>
      <c r="O24" s="28">
        <f t="shared" si="6"/>
        <v>0</v>
      </c>
      <c r="P24" s="28">
        <f t="shared" si="6"/>
        <v>0</v>
      </c>
      <c r="Q24" s="28">
        <f t="shared" si="6"/>
        <v>0</v>
      </c>
      <c r="R24" s="28">
        <f t="shared" si="6"/>
        <v>0</v>
      </c>
      <c r="S24" s="28">
        <f t="shared" si="6"/>
        <v>0</v>
      </c>
      <c r="T24" s="28">
        <f t="shared" si="6"/>
        <v>0</v>
      </c>
      <c r="U24" s="28">
        <f t="shared" si="6"/>
        <v>0</v>
      </c>
      <c r="V24" s="28">
        <f t="shared" si="6"/>
        <v>0</v>
      </c>
      <c r="W24" s="28">
        <f t="shared" si="6"/>
        <v>0</v>
      </c>
      <c r="X24" s="28">
        <f t="shared" si="6"/>
        <v>0</v>
      </c>
      <c r="Y24" s="28">
        <f t="shared" si="6"/>
        <v>0</v>
      </c>
      <c r="Z24" s="28">
        <f t="shared" si="6"/>
        <v>0</v>
      </c>
      <c r="AA24" s="28">
        <f t="shared" si="6"/>
        <v>0</v>
      </c>
      <c r="AB24" s="28">
        <f t="shared" si="6"/>
        <v>0</v>
      </c>
      <c r="AC24" s="28">
        <f t="shared" si="6"/>
        <v>0</v>
      </c>
      <c r="AD24" s="28">
        <f t="shared" si="6"/>
        <v>0</v>
      </c>
      <c r="AE24" s="28">
        <f t="shared" si="6"/>
        <v>0</v>
      </c>
      <c r="AF24" s="28">
        <f t="shared" si="6"/>
        <v>0</v>
      </c>
      <c r="AG24" s="28">
        <f t="shared" si="6"/>
        <v>0</v>
      </c>
      <c r="AH24" s="28">
        <f t="shared" si="6"/>
        <v>0</v>
      </c>
      <c r="AI24" s="29">
        <f t="shared" si="6"/>
        <v>0</v>
      </c>
    </row>
    <row r="25" spans="1:35" x14ac:dyDescent="0.25">
      <c r="A25" s="97">
        <v>4</v>
      </c>
      <c r="B25" s="60">
        <v>0.9</v>
      </c>
      <c r="C25" s="16">
        <v>0</v>
      </c>
      <c r="D25" s="67">
        <f>CEILING(1+MIN(Y$21,T$21-C25-1)+MAX((T$21-C25-1-Y$21)/$M$1,0),1)</f>
        <v>16</v>
      </c>
      <c r="E25" s="63">
        <f>MAX(($G$1/($F$1*D25))^(1/(ROUNDUP(D25/3,)-1)),2/3)</f>
        <v>0.66666666666666663</v>
      </c>
      <c r="F25" s="28">
        <f t="shared" si="7"/>
        <v>14.4</v>
      </c>
      <c r="G25" s="28">
        <f t="shared" si="6"/>
        <v>9.6000000000000014</v>
      </c>
      <c r="H25" s="28">
        <f t="shared" si="6"/>
        <v>6.4</v>
      </c>
      <c r="I25" s="28">
        <f t="shared" si="6"/>
        <v>4.3</v>
      </c>
      <c r="J25" s="28">
        <f t="shared" si="6"/>
        <v>2.9000000000000004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8">
        <f t="shared" si="6"/>
        <v>0</v>
      </c>
      <c r="Q25" s="28">
        <f t="shared" si="6"/>
        <v>0</v>
      </c>
      <c r="R25" s="28">
        <f t="shared" si="6"/>
        <v>0</v>
      </c>
      <c r="S25" s="28">
        <f t="shared" si="6"/>
        <v>0</v>
      </c>
      <c r="T25" s="28">
        <f t="shared" si="6"/>
        <v>0</v>
      </c>
      <c r="U25" s="28">
        <f t="shared" si="6"/>
        <v>0</v>
      </c>
      <c r="V25" s="28">
        <f t="shared" si="6"/>
        <v>0</v>
      </c>
      <c r="W25" s="28">
        <f t="shared" si="6"/>
        <v>0</v>
      </c>
      <c r="X25" s="28">
        <f t="shared" si="6"/>
        <v>0</v>
      </c>
      <c r="Y25" s="28">
        <f t="shared" si="6"/>
        <v>0</v>
      </c>
      <c r="Z25" s="28">
        <f t="shared" si="6"/>
        <v>0</v>
      </c>
      <c r="AA25" s="28">
        <f t="shared" si="6"/>
        <v>0</v>
      </c>
      <c r="AB25" s="28">
        <f t="shared" si="6"/>
        <v>0</v>
      </c>
      <c r="AC25" s="28">
        <f t="shared" si="6"/>
        <v>0</v>
      </c>
      <c r="AD25" s="28">
        <f t="shared" si="6"/>
        <v>0</v>
      </c>
      <c r="AE25" s="28">
        <f t="shared" si="6"/>
        <v>0</v>
      </c>
      <c r="AF25" s="28">
        <f t="shared" si="6"/>
        <v>0</v>
      </c>
      <c r="AG25" s="28">
        <f t="shared" si="6"/>
        <v>0</v>
      </c>
      <c r="AH25" s="28">
        <f t="shared" si="6"/>
        <v>0</v>
      </c>
      <c r="AI25" s="29">
        <f t="shared" si="6"/>
        <v>0</v>
      </c>
    </row>
    <row r="26" spans="1:35" x14ac:dyDescent="0.25">
      <c r="A26" s="59">
        <v>5</v>
      </c>
      <c r="B26" s="61">
        <v>0.8</v>
      </c>
      <c r="C26" s="17">
        <v>0</v>
      </c>
      <c r="D26" s="69">
        <f>CEILING(1+MIN(Y$21,T$21-C26-1)+MAX((T$21-C26-1-Y$21)/$M$1,0),1)</f>
        <v>16</v>
      </c>
      <c r="E26" s="65">
        <f>MAX(($G$1/($F$1*D26))^(1/(ROUNDUP(D26/3,)-1)),2/3)</f>
        <v>0.66666666666666663</v>
      </c>
      <c r="F26" s="28">
        <f t="shared" si="7"/>
        <v>12.8</v>
      </c>
      <c r="G26" s="28">
        <f t="shared" si="6"/>
        <v>8.6</v>
      </c>
      <c r="H26" s="28">
        <f t="shared" si="6"/>
        <v>5.7</v>
      </c>
      <c r="I26" s="28">
        <f t="shared" si="6"/>
        <v>3.8000000000000003</v>
      </c>
      <c r="J26" s="28">
        <f t="shared" si="6"/>
        <v>2.6</v>
      </c>
      <c r="K26" s="28">
        <f t="shared" si="6"/>
        <v>0</v>
      </c>
      <c r="L26" s="28">
        <f t="shared" si="6"/>
        <v>0</v>
      </c>
      <c r="M26" s="28">
        <f t="shared" si="6"/>
        <v>0</v>
      </c>
      <c r="N26" s="28">
        <f t="shared" si="6"/>
        <v>0</v>
      </c>
      <c r="O26" s="28">
        <f t="shared" si="6"/>
        <v>0</v>
      </c>
      <c r="P26" s="28">
        <f t="shared" si="6"/>
        <v>0</v>
      </c>
      <c r="Q26" s="28">
        <f t="shared" si="6"/>
        <v>0</v>
      </c>
      <c r="R26" s="28">
        <f t="shared" si="6"/>
        <v>0</v>
      </c>
      <c r="S26" s="28">
        <f t="shared" si="6"/>
        <v>0</v>
      </c>
      <c r="T26" s="28">
        <f t="shared" si="6"/>
        <v>0</v>
      </c>
      <c r="U26" s="28">
        <f t="shared" si="6"/>
        <v>0</v>
      </c>
      <c r="V26" s="28">
        <f t="shared" si="6"/>
        <v>0</v>
      </c>
      <c r="W26" s="28">
        <f t="shared" si="6"/>
        <v>0</v>
      </c>
      <c r="X26" s="28">
        <f t="shared" si="6"/>
        <v>0</v>
      </c>
      <c r="Y26" s="28">
        <f t="shared" si="6"/>
        <v>0</v>
      </c>
      <c r="Z26" s="28">
        <f t="shared" si="6"/>
        <v>0</v>
      </c>
      <c r="AA26" s="28">
        <f t="shared" si="6"/>
        <v>0</v>
      </c>
      <c r="AB26" s="28">
        <f t="shared" si="6"/>
        <v>0</v>
      </c>
      <c r="AC26" s="28">
        <f t="shared" si="6"/>
        <v>0</v>
      </c>
      <c r="AD26" s="28">
        <f t="shared" si="6"/>
        <v>0</v>
      </c>
      <c r="AE26" s="28">
        <f t="shared" si="6"/>
        <v>0</v>
      </c>
      <c r="AF26" s="28">
        <f t="shared" si="6"/>
        <v>0</v>
      </c>
      <c r="AG26" s="28">
        <f t="shared" si="6"/>
        <v>0</v>
      </c>
      <c r="AH26" s="28">
        <f t="shared" si="6"/>
        <v>0</v>
      </c>
      <c r="AI26" s="29">
        <f t="shared" si="6"/>
        <v>0</v>
      </c>
    </row>
    <row r="27" spans="1:35" x14ac:dyDescent="0.25">
      <c r="A27" s="12"/>
      <c r="B27" s="9"/>
      <c r="C27" s="9"/>
      <c r="D27" s="9"/>
      <c r="E27" s="9"/>
      <c r="F27" s="9"/>
      <c r="G27" s="9"/>
      <c r="H27" s="9"/>
      <c r="I27" s="9"/>
      <c r="J27" s="10"/>
      <c r="K27" s="10"/>
      <c r="L27" s="10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1"/>
    </row>
    <row r="28" spans="1:35" x14ac:dyDescent="0.25">
      <c r="A28" s="96" t="s">
        <v>14</v>
      </c>
    </row>
    <row r="29" spans="1:35" x14ac:dyDescent="0.25">
      <c r="C29" s="119" t="s">
        <v>15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</row>
    <row r="30" spans="1:35" x14ac:dyDescent="0.25">
      <c r="C30" s="104" t="s">
        <v>16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</row>
    <row r="31" spans="1:35" x14ac:dyDescent="0.25">
      <c r="C31" s="104" t="s">
        <v>17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</row>
    <row r="32" spans="1:35" x14ac:dyDescent="0.25">
      <c r="C32" s="104" t="s">
        <v>51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51" spans="1:4" x14ac:dyDescent="0.25">
      <c r="A51" s="1"/>
      <c r="B51" s="1"/>
      <c r="D51" s="96"/>
    </row>
    <row r="52" spans="1:4" x14ac:dyDescent="0.25">
      <c r="C52" s="2"/>
      <c r="D52" s="96"/>
    </row>
  </sheetData>
  <sheetProtection password="C4EE" sheet="1" objects="1" scenarios="1"/>
  <mergeCells count="38">
    <mergeCell ref="C2:D2"/>
    <mergeCell ref="F3:H3"/>
    <mergeCell ref="J3:M3"/>
    <mergeCell ref="N3:O3"/>
    <mergeCell ref="F15:H15"/>
    <mergeCell ref="J15:M15"/>
    <mergeCell ref="N15:O15"/>
    <mergeCell ref="F6:H6"/>
    <mergeCell ref="F10:H10"/>
    <mergeCell ref="J6:M6"/>
    <mergeCell ref="J10:M10"/>
    <mergeCell ref="N6:O6"/>
    <mergeCell ref="N10:O10"/>
    <mergeCell ref="F21:H21"/>
    <mergeCell ref="J21:M21"/>
    <mergeCell ref="N21:O21"/>
    <mergeCell ref="N1:W1"/>
    <mergeCell ref="Z3:AC3"/>
    <mergeCell ref="P6:S6"/>
    <mergeCell ref="P10:S10"/>
    <mergeCell ref="P3:S3"/>
    <mergeCell ref="U3:X3"/>
    <mergeCell ref="C32:AH32"/>
    <mergeCell ref="A2:B2"/>
    <mergeCell ref="A3:B3"/>
    <mergeCell ref="C31:AH31"/>
    <mergeCell ref="C29:AH29"/>
    <mergeCell ref="C30:AH30"/>
    <mergeCell ref="P15:S15"/>
    <mergeCell ref="Z6:AC6"/>
    <mergeCell ref="Z10:AC10"/>
    <mergeCell ref="Z15:AC15"/>
    <mergeCell ref="Z21:AC21"/>
    <mergeCell ref="P21:S21"/>
    <mergeCell ref="U6:X6"/>
    <mergeCell ref="U10:X10"/>
    <mergeCell ref="U15:X15"/>
    <mergeCell ref="U21:X21"/>
  </mergeCells>
  <conditionalFormatting sqref="F4:AI4">
    <cfRule type="cellIs" dxfId="39" priority="5" operator="equal">
      <formula>0</formula>
    </cfRule>
  </conditionalFormatting>
  <conditionalFormatting sqref="F7:AI8">
    <cfRule type="cellIs" dxfId="38" priority="4" operator="equal">
      <formula>0</formula>
    </cfRule>
  </conditionalFormatting>
  <conditionalFormatting sqref="F11:AI13">
    <cfRule type="cellIs" dxfId="37" priority="3" operator="equal">
      <formula>0</formula>
    </cfRule>
  </conditionalFormatting>
  <conditionalFormatting sqref="F16:AI19">
    <cfRule type="cellIs" dxfId="36" priority="2" operator="equal">
      <formula>0</formula>
    </cfRule>
  </conditionalFormatting>
  <conditionalFormatting sqref="F22:AI26">
    <cfRule type="cellIs" dxfId="35" priority="1" operator="equal">
      <formula>0</formula>
    </cfRule>
  </conditionalFormatting>
  <dataValidations count="6">
    <dataValidation type="whole" operator="greaterThan" allowBlank="1" showInputMessage="1" showErrorMessage="1" errorTitle="Fejl" error="Kun postive heltal" sqref="AD3 AD15 AD6 Y21 AD21 Y15 Y10 Y6 AD10 Y3">
      <formula1>0</formula1>
    </dataValidation>
    <dataValidation allowBlank="1" showInputMessage="1" showErrorMessage="1" promptTitle="Q-værdi" prompt="Andelen af MP for den næste af to placeringer." sqref="E4 E7:E8 E11:E13 E16:E19 E22:E26"/>
    <dataValidation allowBlank="1" showInputMessage="1" showErrorMessage="1" promptTitle="&quot;dnul&quot;" prompt="Det beregnede antal deltagere" sqref="D4 D7:D8 D11:D13 D16:D19 D22:D26"/>
    <dataValidation type="whole" operator="greaterThanOrEqual" allowBlank="1" showInputMessage="1" showErrorMessage="1" errorTitle="Fejl" error="Kun postive heltal" promptTitle="Minimum" prompt="Mindst 4 deltagere" sqref="T21 T15 T10 T6 T3">
      <formula1>4</formula1>
    </dataValidation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type="list" showInputMessage="1" showErrorMessage="1" errorTitle="Arrangør" error="Enten Klub eller Distrikt" promptTitle="Arrangør" prompt="Kun distrikter (ikke klubber) kan lægge 20% eller 40% til." sqref="N3:O3 N21:O21 N15:O15 N10:O10 N6:O6">
      <formula1>$C$1:$D$1</formula1>
    </dataValidation>
  </dataValidations>
  <printOptions horizontalCentered="1"/>
  <pageMargins left="0.31496062992125984" right="0.31496062992125984" top="1.7322834645669292" bottom="0.74803149606299213" header="0.31496062992125984" footer="0.31496062992125984"/>
  <pageSetup paperSize="9" scale="87" orientation="landscape" horizontalDpi="4294967295" verticalDpi="4294967295" r:id="rId1"/>
  <headerFooter>
    <oddHeader>&amp;L&amp;G&amp;C&amp;20Sølvpoint i parturneringer&amp;RVersion 1.0</oddHeader>
    <oddFooter>&amp;C&amp;14Udskrevet: &amp;D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"/>
  <sheetViews>
    <sheetView topLeftCell="A2" zoomScaleNormal="100" workbookViewId="0">
      <selection activeCell="N3" sqref="N3:O3"/>
    </sheetView>
  </sheetViews>
  <sheetFormatPr defaultRowHeight="15" x14ac:dyDescent="0.25"/>
  <cols>
    <col min="1" max="1" width="2.28515625" style="96" customWidth="1"/>
    <col min="2" max="2" width="5.28515625" style="96" customWidth="1"/>
    <col min="3" max="3" width="5.7109375" style="1" customWidth="1"/>
    <col min="4" max="4" width="4.7109375" style="95" customWidth="1"/>
    <col min="5" max="5" width="9.140625" style="96" customWidth="1"/>
    <col min="6" max="12" width="5.5703125" style="33" customWidth="1"/>
    <col min="13" max="35" width="4.28515625" style="33" customWidth="1"/>
    <col min="36" max="16384" width="9.140625" style="96"/>
  </cols>
  <sheetData>
    <row r="1" spans="1:35" x14ac:dyDescent="0.25">
      <c r="A1" s="20">
        <v>0</v>
      </c>
      <c r="B1" s="20">
        <v>1</v>
      </c>
      <c r="C1" s="18" t="s">
        <v>5</v>
      </c>
      <c r="D1" s="19" t="s">
        <v>23</v>
      </c>
      <c r="E1" s="21" t="s">
        <v>52</v>
      </c>
      <c r="F1" s="54">
        <v>0.1</v>
      </c>
      <c r="G1" s="52">
        <v>0.01</v>
      </c>
      <c r="H1" s="53">
        <v>54</v>
      </c>
      <c r="I1" s="53">
        <v>54</v>
      </c>
      <c r="J1" s="53">
        <v>100</v>
      </c>
      <c r="K1" s="53">
        <v>150</v>
      </c>
      <c r="L1" s="53">
        <v>0</v>
      </c>
      <c r="M1" s="53">
        <v>2</v>
      </c>
      <c r="N1" s="136" t="s">
        <v>24</v>
      </c>
      <c r="O1" s="136"/>
      <c r="P1" s="136"/>
      <c r="Q1" s="136"/>
      <c r="R1" s="136"/>
      <c r="S1" s="136"/>
      <c r="T1" s="136"/>
      <c r="U1" s="136"/>
      <c r="V1" s="136"/>
      <c r="W1" s="136"/>
    </row>
    <row r="2" spans="1:35" x14ac:dyDescent="0.25">
      <c r="A2" s="105" t="s">
        <v>8</v>
      </c>
      <c r="B2" s="106"/>
      <c r="C2" s="110" t="s">
        <v>9</v>
      </c>
      <c r="D2" s="111"/>
      <c r="E2" s="22" t="s">
        <v>13</v>
      </c>
      <c r="F2" s="34">
        <v>1</v>
      </c>
      <c r="G2" s="34">
        <v>2</v>
      </c>
      <c r="H2" s="34">
        <v>3</v>
      </c>
      <c r="I2" s="34">
        <v>4</v>
      </c>
      <c r="J2" s="34">
        <v>5</v>
      </c>
      <c r="K2" s="34">
        <v>6</v>
      </c>
      <c r="L2" s="34">
        <v>7</v>
      </c>
      <c r="M2" s="34">
        <v>8</v>
      </c>
      <c r="N2" s="34">
        <v>9</v>
      </c>
      <c r="O2" s="34">
        <v>10</v>
      </c>
      <c r="P2" s="34">
        <v>11</v>
      </c>
      <c r="Q2" s="34">
        <v>12</v>
      </c>
      <c r="R2" s="34">
        <v>13</v>
      </c>
      <c r="S2" s="34">
        <v>14</v>
      </c>
      <c r="T2" s="34">
        <v>15</v>
      </c>
      <c r="U2" s="34">
        <v>16</v>
      </c>
      <c r="V2" s="34">
        <v>17</v>
      </c>
      <c r="W2" s="34">
        <v>18</v>
      </c>
      <c r="X2" s="34">
        <v>19</v>
      </c>
      <c r="Y2" s="34">
        <v>20</v>
      </c>
      <c r="Z2" s="34">
        <v>21</v>
      </c>
      <c r="AA2" s="34">
        <v>22</v>
      </c>
      <c r="AB2" s="34">
        <v>23</v>
      </c>
      <c r="AC2" s="34">
        <v>24</v>
      </c>
      <c r="AD2" s="34">
        <v>25</v>
      </c>
      <c r="AE2" s="34">
        <v>26</v>
      </c>
      <c r="AF2" s="34">
        <v>27</v>
      </c>
      <c r="AG2" s="34">
        <v>28</v>
      </c>
      <c r="AH2" s="34">
        <v>29</v>
      </c>
      <c r="AI2" s="35">
        <v>30</v>
      </c>
    </row>
    <row r="3" spans="1:35" x14ac:dyDescent="0.25">
      <c r="A3" s="107" t="s">
        <v>7</v>
      </c>
      <c r="B3" s="108"/>
      <c r="C3" s="5" t="s">
        <v>10</v>
      </c>
      <c r="D3" s="7" t="s">
        <v>33</v>
      </c>
      <c r="E3" s="62" t="s">
        <v>12</v>
      </c>
      <c r="F3" s="134" t="s">
        <v>11</v>
      </c>
      <c r="G3" s="134"/>
      <c r="H3" s="134"/>
      <c r="I3" s="36">
        <v>1</v>
      </c>
      <c r="J3" s="135" t="s">
        <v>3</v>
      </c>
      <c r="K3" s="135"/>
      <c r="L3" s="135"/>
      <c r="M3" s="135"/>
      <c r="N3" s="130" t="s">
        <v>5</v>
      </c>
      <c r="O3" s="130"/>
      <c r="P3" s="132" t="s">
        <v>1</v>
      </c>
      <c r="Q3" s="132"/>
      <c r="R3" s="132"/>
      <c r="S3" s="132"/>
      <c r="T3" s="15">
        <v>20</v>
      </c>
      <c r="U3" s="132" t="s">
        <v>2</v>
      </c>
      <c r="V3" s="132"/>
      <c r="W3" s="132"/>
      <c r="X3" s="132"/>
      <c r="Y3" s="15">
        <v>19</v>
      </c>
      <c r="Z3" s="132" t="s">
        <v>4</v>
      </c>
      <c r="AA3" s="132"/>
      <c r="AB3" s="132"/>
      <c r="AC3" s="132"/>
      <c r="AD3" s="15">
        <v>3</v>
      </c>
      <c r="AE3" s="37"/>
      <c r="AF3" s="37"/>
      <c r="AG3" s="37"/>
      <c r="AH3" s="37"/>
      <c r="AI3" s="38"/>
    </row>
    <row r="4" spans="1:35" x14ac:dyDescent="0.25">
      <c r="A4" s="97">
        <v>1</v>
      </c>
      <c r="B4" s="60">
        <v>1</v>
      </c>
      <c r="C4" s="16">
        <v>0</v>
      </c>
      <c r="D4" s="67">
        <f>CEILING(1+MIN(Y$3,T$3-C4-1)+MAX((T$3-C4-1-Y$3)/$M$1,0),1)</f>
        <v>20</v>
      </c>
      <c r="E4" s="63">
        <f>MAX(($G$1/($F$1*D4))^(1/(ROUNDUP(D4/3,)-1)),2/3)</f>
        <v>0.66666666666666663</v>
      </c>
      <c r="F4" s="39">
        <f>IF(CEILING(IF($N$3=$E$1,$E34,$B4*$D4/3),1)&gt;=F$2,CEILING($F$1*IF($Y$3*$AD$3&gt;=$I$1,1,IF($Y$3*$AD$3&gt;=$H$1,0.5,IF($N$3=$C$1,0,1)))*(1+IF($N$3=$D$1,IF($Y$3*$AD$3&gt;=$K$1,0.4,IF($Y$3*$AD$3&gt;=$J$1,0.2,0)),0))*IF($N$3=$E$1,F34/$F$1,$B4*$D4*$E4^(F$2-1)),0.01),0)</f>
        <v>2</v>
      </c>
      <c r="G4" s="39">
        <f>IF(CEILING(IF($N$3=$E$1,$E34,$B4*$D4/3),1)&gt;=G$2,CEILING($F$1*IF($Y$3*$AD$3&gt;=$I$1,1,IF($Y$3*$AD$3&gt;=$H$1,0.5,IF($N$3=$C$1,0,1)))*(1+IF($N$3=$D$1,IF($Y$3*$AD$3&gt;=$K$1,0.4,IF($Y$3*$AD$3&gt;=$J$1,0.2,0)),0))*IF($N$3=$E$1,G34/$F$1,$B4*$D4*$E4^(G$2-1)),0.01),0)</f>
        <v>1.34</v>
      </c>
      <c r="H4" s="39">
        <f>IF(CEILING(IF($N$3=$E$1,$E34,$B4*$D4/3),1)&gt;=H$2,CEILING($F$1*IF($Y$3*$AD$3&gt;=$I$1,1,IF($Y$3*$AD$3&gt;=$H$1,0.5,IF($N$3=$C$1,0,1)))*(1+IF($N$3=$D$1,IF($Y$3*$AD$3&gt;=$K$1,0.4,IF($Y$3*$AD$3&gt;=$J$1,0.2,0)),0))*IF($N$3=$E$1,H34/$F$1,$B4*$D4*$E4^(H$2-1)),0.01),0)</f>
        <v>0.89</v>
      </c>
      <c r="I4" s="39">
        <f>IF(CEILING(IF($N$3=$E$1,$E34,$B4*$D4/3),1)&gt;=I$2,CEILING($F$1*IF($Y$3*$AD$3&gt;=$I$1,1,IF($Y$3*$AD$3&gt;=$H$1,0.5,IF($N$3=$C$1,0,1)))*(1+IF($N$3=$D$1,IF($Y$3*$AD$3&gt;=$K$1,0.4,IF($Y$3*$AD$3&gt;=$J$1,0.2,0)),0))*IF($N$3=$E$1,I34/$F$1,$B4*$D4*$E4^(I$2-1)),0.01),0)</f>
        <v>0.6</v>
      </c>
      <c r="J4" s="39">
        <f>IF(CEILING(IF($N$3=$E$1,$E34,$B4*$D4/3),1)&gt;=J$2,CEILING($F$1*IF($Y$3*$AD$3&gt;=$I$1,1,IF($Y$3*$AD$3&gt;=$H$1,0.5,IF($N$3=$C$1,0,1)))*(1+IF($N$3=$D$1,IF($Y$3*$AD$3&gt;=$K$1,0.4,IF($Y$3*$AD$3&gt;=$J$1,0.2,0)),0))*IF($N$3=$E$1,J34/$F$1,$B4*$D4*$E4^(J$2-1)),0.01),0)</f>
        <v>0.4</v>
      </c>
      <c r="K4" s="39">
        <f>IF(CEILING(IF($N$3=$E$1,$E34,$B4*$D4/3),1)&gt;=K$2,CEILING($F$1*IF($Y$3*$AD$3&gt;=$I$1,1,IF($Y$3*$AD$3&gt;=$H$1,0.5,IF($N$3=$C$1,0,1)))*(1+IF($N$3=$D$1,IF($Y$3*$AD$3&gt;=$K$1,0.4,IF($Y$3*$AD$3&gt;=$J$1,0.2,0)),0))*IF($N$3=$E$1,K34/$F$1,$B4*$D4*$E4^(K$2-1)),0.01),0)</f>
        <v>0.27</v>
      </c>
      <c r="L4" s="39">
        <f>IF(CEILING(IF($N$3=$E$1,$E34,$B4*$D4/3),1)&gt;=L$2,CEILING($F$1*IF($Y$3*$AD$3&gt;=$I$1,1,IF($Y$3*$AD$3&gt;=$H$1,0.5,IF($N$3=$C$1,0,1)))*(1+IF($N$3=$D$1,IF($Y$3*$AD$3&gt;=$K$1,0.4,IF($Y$3*$AD$3&gt;=$J$1,0.2,0)),0))*IF($N$3=$E$1,L34/$F$1,$B4*$D4*$E4^(L$2-1)),0.01),0)</f>
        <v>0.18</v>
      </c>
      <c r="M4" s="39">
        <f>IF(CEILING(IF($N$3=$E$1,$E34,$B4*$D4/3),1)&gt;=M$2,CEILING($F$1*IF($Y$3*$AD$3&gt;=$I$1,1,IF($Y$3*$AD$3&gt;=$H$1,0.5,IF($N$3=$C$1,0,1)))*(1+IF($N$3=$D$1,IF($Y$3*$AD$3&gt;=$K$1,0.4,IF($Y$3*$AD$3&gt;=$J$1,0.2,0)),0))*IF($N$3=$E$1,M34/$F$1,$B4*$D4*$E4^(M$2-1)),0.01),0)</f>
        <v>0</v>
      </c>
      <c r="N4" s="39">
        <f>IF(CEILING(IF($N$3=$E$1,$E34,$B4*$D4/3),1)&gt;=N$2,CEILING($F$1*IF($Y$3*$AD$3&gt;=$I$1,1,IF($Y$3*$AD$3&gt;=$H$1,0.5,IF($N$3=$C$1,0,1)))*(1+IF($N$3=$D$1,IF($Y$3*$AD$3&gt;=$K$1,0.4,IF($Y$3*$AD$3&gt;=$J$1,0.2,0)),0))*IF($N$3=$E$1,N34/$F$1,$B4*$D4*$E4^(N$2-1)),0.01),0)</f>
        <v>0</v>
      </c>
      <c r="O4" s="39">
        <f>IF(CEILING(IF($N$3=$E$1,$E34,$B4*$D4/3),1)&gt;=O$2,CEILING($F$1*IF($Y$3*$AD$3&gt;=$I$1,1,IF($Y$3*$AD$3&gt;=$H$1,0.5,IF($N$3=$C$1,0,1)))*(1+IF($N$3=$D$1,IF($Y$3*$AD$3&gt;=$K$1,0.4,IF($Y$3*$AD$3&gt;=$J$1,0.2,0)),0))*IF($N$3=$E$1,O34/$F$1,$B4*$D4*$E4^(O$2-1)),0.01),0)</f>
        <v>0</v>
      </c>
      <c r="P4" s="39">
        <f>IF(CEILING(IF($N$3=$E$1,$E34,$B4*$D4/3),1)&gt;=P$2,CEILING($F$1*IF($Y$3*$AD$3&gt;=$I$1,1,IF($Y$3*$AD$3&gt;=$H$1,0.5,IF($N$3=$C$1,0,1)))*(1+IF($N$3=$D$1,IF($Y$3*$AD$3&gt;=$K$1,0.4,IF($Y$3*$AD$3&gt;=$J$1,0.2,0)),0))*IF($N$3=$E$1,P34/$F$1,$B4*$D4*$E4^(P$2-1)),0.01),0)</f>
        <v>0</v>
      </c>
      <c r="Q4" s="39">
        <f>IF(CEILING(IF($N$3=$E$1,$E34,$B4*$D4/3),1)&gt;=Q$2,CEILING($F$1*IF($Y$3*$AD$3&gt;=$I$1,1,IF($Y$3*$AD$3&gt;=$H$1,0.5,IF($N$3=$C$1,0,1)))*(1+IF($N$3=$D$1,IF($Y$3*$AD$3&gt;=$K$1,0.4,IF($Y$3*$AD$3&gt;=$J$1,0.2,0)),0))*IF($N$3=$E$1,Q34/$F$1,$B4*$D4*$E4^(Q$2-1)),0.01),0)</f>
        <v>0</v>
      </c>
      <c r="R4" s="39">
        <f>IF(CEILING(IF($N$3=$E$1,$E34,$B4*$D4/3),1)&gt;=R$2,CEILING($F$1*IF($Y$3*$AD$3&gt;=$I$1,1,IF($Y$3*$AD$3&gt;=$H$1,0.5,IF($N$3=$C$1,0,1)))*(1+IF($N$3=$D$1,IF($Y$3*$AD$3&gt;=$K$1,0.4,IF($Y$3*$AD$3&gt;=$J$1,0.2,0)),0))*IF($N$3=$E$1,R34/$F$1,$B4*$D4*$E4^(R$2-1)),0.01),0)</f>
        <v>0</v>
      </c>
      <c r="S4" s="39">
        <f>IF(CEILING(IF($N$3=$E$1,$E34,$B4*$D4/3),1)&gt;=S$2,CEILING($F$1*IF($Y$3*$AD$3&gt;=$I$1,1,IF($Y$3*$AD$3&gt;=$H$1,0.5,IF($N$3=$C$1,0,1)))*(1+IF($N$3=$D$1,IF($Y$3*$AD$3&gt;=$K$1,0.4,IF($Y$3*$AD$3&gt;=$J$1,0.2,0)),0))*IF($N$3=$E$1,S34/$F$1,$B4*$D4*$E4^(S$2-1)),0.01),0)</f>
        <v>0</v>
      </c>
      <c r="T4" s="39">
        <f>IF(CEILING(IF($N$3=$E$1,$E34,$B4*$D4/3),1)&gt;=T$2,CEILING($F$1*IF($Y$3*$AD$3&gt;=$I$1,1,IF($Y$3*$AD$3&gt;=$H$1,0.5,IF($N$3=$C$1,0,1)))*(1+IF($N$3=$D$1,IF($Y$3*$AD$3&gt;=$K$1,0.4,IF($Y$3*$AD$3&gt;=$J$1,0.2,0)),0))*IF($N$3=$E$1,T34/$F$1,$B4*$D4*$E4^(T$2-1)),0.01),0)</f>
        <v>0</v>
      </c>
      <c r="U4" s="39">
        <f>IF(CEILING(IF($N$3=$E$1,$E34,$B4*$D4/3),1)&gt;=U$2,CEILING($F$1*IF($Y$3*$AD$3&gt;=$I$1,1,IF($Y$3*$AD$3&gt;=$H$1,0.5,IF($N$3=$C$1,0,1)))*(1+IF($N$3=$D$1,IF($Y$3*$AD$3&gt;=$K$1,0.4,IF($Y$3*$AD$3&gt;=$J$1,0.2,0)),0))*IF($N$3=$E$1,U34/$F$1,$B4*$D4*$E4^(U$2-1)),0.01),0)</f>
        <v>0</v>
      </c>
      <c r="V4" s="39">
        <f>IF(CEILING(IF($N$3=$E$1,$E34,$B4*$D4/3),1)&gt;=V$2,CEILING($F$1*IF($Y$3*$AD$3&gt;=$I$1,1,IF($Y$3*$AD$3&gt;=$H$1,0.5,IF($N$3=$C$1,0,1)))*(1+IF($N$3=$D$1,IF($Y$3*$AD$3&gt;=$K$1,0.4,IF($Y$3*$AD$3&gt;=$J$1,0.2,0)),0))*IF($N$3=$E$1,V34/$F$1,$B4*$D4*$E4^(V$2-1)),0.01),0)</f>
        <v>0</v>
      </c>
      <c r="W4" s="39">
        <f>IF(CEILING(IF($N$3=$E$1,$E34,$B4*$D4/3),1)&gt;=W$2,CEILING($F$1*IF($Y$3*$AD$3&gt;=$I$1,1,IF($Y$3*$AD$3&gt;=$H$1,0.5,IF($N$3=$C$1,0,1)))*(1+IF($N$3=$D$1,IF($Y$3*$AD$3&gt;=$K$1,0.4,IF($Y$3*$AD$3&gt;=$J$1,0.2,0)),0))*IF($N$3=$E$1,W34/$F$1,$B4*$D4*$E4^(W$2-1)),0.01),0)</f>
        <v>0</v>
      </c>
      <c r="X4" s="39">
        <f>IF(CEILING(IF($N$3=$E$1,$E34,$B4*$D4/3),1)&gt;=X$2,CEILING($F$1*IF($Y$3*$AD$3&gt;=$I$1,1,IF($Y$3*$AD$3&gt;=$H$1,0.5,IF($N$3=$C$1,0,1)))*(1+IF($N$3=$D$1,IF($Y$3*$AD$3&gt;=$K$1,0.4,IF($Y$3*$AD$3&gt;=$J$1,0.2,0)),0))*IF($N$3=$E$1,X34/$F$1,$B4*$D4*$E4^(X$2-1)),0.01),0)</f>
        <v>0</v>
      </c>
      <c r="Y4" s="39">
        <f>IF(CEILING(IF($N$3=$E$1,$E34,$B4*$D4/3),1)&gt;=Y$2,CEILING($F$1*IF($Y$3*$AD$3&gt;=$I$1,1,IF($Y$3*$AD$3&gt;=$H$1,0.5,IF($N$3=$C$1,0,1)))*(1+IF($N$3=$D$1,IF($Y$3*$AD$3&gt;=$K$1,0.4,IF($Y$3*$AD$3&gt;=$J$1,0.2,0)),0))*IF($N$3=$E$1,Y34/$F$1,$B4*$D4*$E4^(Y$2-1)),0.01),0)</f>
        <v>0</v>
      </c>
      <c r="Z4" s="39">
        <f>IF(CEILING(IF($N$3=$E$1,$E34,$B4*$D4/3),1)&gt;=Z$2,CEILING($F$1*IF($Y$3*$AD$3&gt;=$I$1,1,IF($Y$3*$AD$3&gt;=$H$1,0.5,IF($N$3=$C$1,0,1)))*(1+IF($N$3=$D$1,IF($Y$3*$AD$3&gt;=$K$1,0.4,IF($Y$3*$AD$3&gt;=$J$1,0.2,0)),0))*IF($N$3=$E$1,Z34/$F$1,$B4*$D4*$E4^(Z$2-1)),0.01),0)</f>
        <v>0</v>
      </c>
      <c r="AA4" s="39">
        <f>IF(CEILING(IF($N$3=$E$1,$E34,$B4*$D4/3),1)&gt;=AA$2,CEILING($F$1*IF($Y$3*$AD$3&gt;=$I$1,1,IF($Y$3*$AD$3&gt;=$H$1,0.5,IF($N$3=$C$1,0,1)))*(1+IF($N$3=$D$1,IF($Y$3*$AD$3&gt;=$K$1,0.4,IF($Y$3*$AD$3&gt;=$J$1,0.2,0)),0))*IF($N$3=$E$1,AA34/$F$1,$B4*$D4*$E4^(AA$2-1)),0.01),0)</f>
        <v>0</v>
      </c>
      <c r="AB4" s="39">
        <f>IF(CEILING(IF($N$3=$E$1,$E34,$B4*$D4/3),1)&gt;=AB$2,CEILING($F$1*IF($Y$3*$AD$3&gt;=$I$1,1,IF($Y$3*$AD$3&gt;=$H$1,0.5,IF($N$3=$C$1,0,1)))*(1+IF($N$3=$D$1,IF($Y$3*$AD$3&gt;=$K$1,0.4,IF($Y$3*$AD$3&gt;=$J$1,0.2,0)),0))*IF($N$3=$E$1,AB34/$F$1,$B4*$D4*$E4^(AB$2-1)),0.01),0)</f>
        <v>0</v>
      </c>
      <c r="AC4" s="39">
        <f>IF(CEILING(IF($N$3=$E$1,$E34,$B4*$D4/3),1)&gt;=AC$2,CEILING($F$1*IF($Y$3*$AD$3&gt;=$I$1,1,IF($Y$3*$AD$3&gt;=$H$1,0.5,IF($N$3=$C$1,0,1)))*(1+IF($N$3=$D$1,IF($Y$3*$AD$3&gt;=$K$1,0.4,IF($Y$3*$AD$3&gt;=$J$1,0.2,0)),0))*IF($N$3=$E$1,AC34/$F$1,$B4*$D4*$E4^(AC$2-1)),0.01),0)</f>
        <v>0</v>
      </c>
      <c r="AD4" s="39">
        <f>IF(CEILING(IF($N$3=$E$1,$E34,$B4*$D4/3),1)&gt;=AD$2,CEILING($F$1*IF($Y$3*$AD$3&gt;=$I$1,1,IF($Y$3*$AD$3&gt;=$H$1,0.5,IF($N$3=$C$1,0,1)))*(1+IF($N$3=$D$1,IF($Y$3*$AD$3&gt;=$K$1,0.4,IF($Y$3*$AD$3&gt;=$J$1,0.2,0)),0))*IF($N$3=$E$1,AD34/$F$1,$B4*$D4*$E4^(AD$2-1)),0.01),0)</f>
        <v>0</v>
      </c>
      <c r="AE4" s="98">
        <f>IF(CEILING(IF($N$3=$E$1,$E34,$B4*$D4/3),1)&gt;=AE$2,CEILING($F$1*IF($Y$3*$AD$3&gt;=$I$1,1,IF($Y$3*$AD$3&gt;=$H$1,0.5,IF($N$3=$C$1,0,1)))*(1+IF($N$3=$D$1,IF($Y$3*$AD$3&gt;=$K$1,0.4,IF($Y$3*$AD$3&gt;=$J$1,0.2,0)),0))*IF($N$3=$E$1,AE34/$F$1,$B4*$D4*$E4^(AE$2-1)),0.01),0)</f>
        <v>0</v>
      </c>
      <c r="AF4" s="98">
        <f>IF(CEILING(IF($N$3=$E$1,$E34,$B4*$D4/3),1)&gt;=AF$2,CEILING($F$1*IF($Y$3*$AD$3&gt;=$I$1,1,IF($Y$3*$AD$3&gt;=$H$1,0.5,IF($N$3=$C$1,0,1)))*(1+IF($N$3=$D$1,IF($Y$3*$AD$3&gt;=$K$1,0.4,IF($Y$3*$AD$3&gt;=$J$1,0.2,0)),0))*IF($N$3=$E$1,AF34/$F$1,$B4*$D4*$E4^(AF$2-1)),0.01),0)</f>
        <v>0</v>
      </c>
      <c r="AG4" s="98">
        <f>IF(CEILING(IF($N$3=$E$1,$E34,$B4*$D4/3),1)&gt;=AG$2,CEILING($F$1*IF($Y$3*$AD$3&gt;=$I$1,1,IF($Y$3*$AD$3&gt;=$H$1,0.5,IF($N$3=$C$1,0,1)))*(1+IF($N$3=$D$1,IF($Y$3*$AD$3&gt;=$K$1,0.4,IF($Y$3*$AD$3&gt;=$J$1,0.2,0)),0))*IF($N$3=$E$1,AG34/$F$1,$B4*$D4*$E4^(AG$2-1)),0.01),0)</f>
        <v>0</v>
      </c>
      <c r="AH4" s="98">
        <f>IF(CEILING(IF($N$3=$E$1,$E34,$B4*$D4/3),1)&gt;=AH$2,CEILING($F$1*IF($Y$3*$AD$3&gt;=$I$1,1,IF($Y$3*$AD$3&gt;=$H$1,0.5,IF($N$3=$C$1,0,1)))*(1+IF($N$3=$D$1,IF($Y$3*$AD$3&gt;=$K$1,0.4,IF($Y$3*$AD$3&gt;=$J$1,0.2,0)),0))*IF($N$3=$E$1,AH34/$F$1,$B4*$D4*$E4^(AH$2-1)),0.01),0)</f>
        <v>0</v>
      </c>
      <c r="AI4" s="99">
        <f>IF(CEILING(IF($N$3=$E$1,$E34,$B4*$D4/3),1)&gt;=AI$2,CEILING($F$1*IF($Y$3*$AD$3&gt;=$I$1,1,IF($Y$3*$AD$3&gt;=$H$1,0.5,IF($N$3=$C$1,0,1)))*(1+IF($N$3=$D$1,IF($Y$3*$AD$3&gt;=$K$1,0.4,IF($Y$3*$AD$3&gt;=$J$1,0.2,0)),0))*IF($N$3=$E$1,AI34/$F$1,$B4*$D4*$E4^(AI$2-1)),0.01),0)</f>
        <v>0</v>
      </c>
    </row>
    <row r="5" spans="1:35" x14ac:dyDescent="0.25">
      <c r="A5" s="97"/>
      <c r="B5" s="60"/>
      <c r="C5" s="6"/>
      <c r="D5" s="68"/>
      <c r="E5" s="64"/>
      <c r="F5" s="41"/>
      <c r="G5" s="41"/>
      <c r="H5" s="41"/>
      <c r="I5" s="41"/>
      <c r="J5" s="42"/>
      <c r="K5" s="42"/>
      <c r="L5" s="42"/>
      <c r="M5" s="42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3"/>
    </row>
    <row r="6" spans="1:35" x14ac:dyDescent="0.25">
      <c r="A6" s="97"/>
      <c r="B6" s="60"/>
      <c r="C6" s="6"/>
      <c r="D6" s="68"/>
      <c r="E6" s="64"/>
      <c r="F6" s="134" t="s">
        <v>11</v>
      </c>
      <c r="G6" s="134"/>
      <c r="H6" s="134"/>
      <c r="I6" s="36">
        <v>2</v>
      </c>
      <c r="J6" s="135" t="s">
        <v>3</v>
      </c>
      <c r="K6" s="135"/>
      <c r="L6" s="135"/>
      <c r="M6" s="135"/>
      <c r="N6" s="130" t="s">
        <v>5</v>
      </c>
      <c r="O6" s="130"/>
      <c r="P6" s="132" t="s">
        <v>1</v>
      </c>
      <c r="Q6" s="132"/>
      <c r="R6" s="132"/>
      <c r="S6" s="132"/>
      <c r="T6" s="15">
        <v>20</v>
      </c>
      <c r="U6" s="132" t="s">
        <v>2</v>
      </c>
      <c r="V6" s="132"/>
      <c r="W6" s="132"/>
      <c r="X6" s="132"/>
      <c r="Y6" s="15">
        <v>19</v>
      </c>
      <c r="Z6" s="132" t="s">
        <v>4</v>
      </c>
      <c r="AA6" s="132"/>
      <c r="AB6" s="132"/>
      <c r="AC6" s="132"/>
      <c r="AD6" s="15">
        <v>3</v>
      </c>
      <c r="AE6" s="37"/>
      <c r="AF6" s="37"/>
      <c r="AG6" s="37"/>
      <c r="AH6" s="37"/>
      <c r="AI6" s="38"/>
    </row>
    <row r="7" spans="1:35" x14ac:dyDescent="0.25">
      <c r="A7" s="97">
        <v>1</v>
      </c>
      <c r="B7" s="60">
        <v>1.1000000000000001</v>
      </c>
      <c r="C7" s="16">
        <v>0</v>
      </c>
      <c r="D7" s="67">
        <f>CEILING(1+MIN(Y$6,T$6-C7-1)+MAX((T$6-C7-1-Y$6)/$M$1,0),1)</f>
        <v>20</v>
      </c>
      <c r="E7" s="63">
        <f>MAX(($G$1/($F$1*D7))^(1/(ROUNDUP(D7/3,)-1)),2/3)</f>
        <v>0.66666666666666663</v>
      </c>
      <c r="F7" s="39">
        <f>IF(CEILING(IF($N$6=$E$1,$E37,$B7*$D7/3),1)&gt;=F$2,CEILING($F$1*IF($Y$6*$AD$6&gt;=$I$1,1,IF($Y$6*$AD$6&gt;=$H$1,0.5,IF($N$6=$C$1,0,1)))*(1+IF($N$6=$D$1,IF($Y$6*$AD$6&gt;=$K$1,0.4,IF($Y$6*$AD$6&gt;=$J$1,0.2,0)),0))*IF($N$6=$E$1,F37/$F$1,$B7*$D7*$E7^(F$2-1)),0.01),0)</f>
        <v>2.2000000000000002</v>
      </c>
      <c r="G7" s="39">
        <f t="shared" ref="G7:AD7" si="0">IF(CEILING(IF($N$6=$E$1,$E37,$B7*$D7/3),1)&gt;=G$2,CEILING($F$1*IF($Y$6*$AD$6&gt;=$I$1,1,IF($Y$6*$AD$6&gt;=$H$1,0.5,IF($N$6=$C$1,0,1)))*(1+IF($N$6=$D$1,IF($Y$6*$AD$6&gt;=$K$1,0.4,IF($Y$6*$AD$6&gt;=$J$1,0.2,0)),0))*IF($N$6=$E$1,G37/$F$1,$B7*$D7*$E7^(G$2-1)),0.01),0)</f>
        <v>1.47</v>
      </c>
      <c r="H7" s="39">
        <f t="shared" si="0"/>
        <v>0.98</v>
      </c>
      <c r="I7" s="39">
        <f t="shared" si="0"/>
        <v>0.66</v>
      </c>
      <c r="J7" s="39">
        <f t="shared" si="0"/>
        <v>0.44</v>
      </c>
      <c r="K7" s="39">
        <f t="shared" si="0"/>
        <v>0.28999999999999998</v>
      </c>
      <c r="L7" s="39">
        <f t="shared" si="0"/>
        <v>0.2</v>
      </c>
      <c r="M7" s="39">
        <f t="shared" si="0"/>
        <v>0.13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</v>
      </c>
      <c r="T7" s="39">
        <f t="shared" si="0"/>
        <v>0</v>
      </c>
      <c r="U7" s="39">
        <f t="shared" si="0"/>
        <v>0</v>
      </c>
      <c r="V7" s="39">
        <f t="shared" si="0"/>
        <v>0</v>
      </c>
      <c r="W7" s="39">
        <f t="shared" si="0"/>
        <v>0</v>
      </c>
      <c r="X7" s="39">
        <f t="shared" si="0"/>
        <v>0</v>
      </c>
      <c r="Y7" s="39">
        <f t="shared" si="0"/>
        <v>0</v>
      </c>
      <c r="Z7" s="39">
        <f t="shared" si="0"/>
        <v>0</v>
      </c>
      <c r="AA7" s="39">
        <f t="shared" si="0"/>
        <v>0</v>
      </c>
      <c r="AB7" s="39">
        <f t="shared" si="0"/>
        <v>0</v>
      </c>
      <c r="AC7" s="39">
        <f t="shared" si="0"/>
        <v>0</v>
      </c>
      <c r="AD7" s="39">
        <f t="shared" si="0"/>
        <v>0</v>
      </c>
      <c r="AE7" s="137">
        <f>IF($N$6=$E$1,"DM Damepar finale",0)</f>
        <v>0</v>
      </c>
      <c r="AF7" s="137"/>
      <c r="AG7" s="137"/>
      <c r="AH7" s="137"/>
      <c r="AI7" s="138"/>
    </row>
    <row r="8" spans="1:35" x14ac:dyDescent="0.25">
      <c r="A8" s="97">
        <v>2</v>
      </c>
      <c r="B8" s="60">
        <v>0.9</v>
      </c>
      <c r="C8" s="16">
        <v>0</v>
      </c>
      <c r="D8" s="67">
        <f>CEILING(1+MIN(Y$6,T$6-C8-1)+MAX((T$6-C8-1-Y$6)/$M$1,0),1)</f>
        <v>20</v>
      </c>
      <c r="E8" s="63">
        <f>MAX(($G$1/($F$1*D8))^(1/(ROUNDUP(D8/3,)-1)),2/3)</f>
        <v>0.66666666666666663</v>
      </c>
      <c r="F8" s="39">
        <f>IF(CEILING(IF($N$6=$E$1,$E38,$B8*$D8/3),1)&gt;=F$2,CEILING($F$1*IF($Y$6*$AD$6&gt;=$I$1,1,IF($Y$6*$AD$6&gt;=$H$1,0.5,IF($N$6=$C$1,0,1)))*(1+IF($N$6=$D$1,IF($Y$6*$AD$6&gt;=$K$1,0.4,IF($Y$6*$AD$6&gt;=$J$1,0.2,0)),0))*IF($N$6=$E$1,F38/$F$1,$B8*$D8*$E8^(F$2-1)),0.01),0)</f>
        <v>1.8</v>
      </c>
      <c r="G8" s="39">
        <f>IF(CEILING(IF($N$6=$E$1,$E38,$B8*$D8/3),1)&gt;=G$2,CEILING($F$1*IF($Y$6*$AD$6&gt;=$I$1,1,IF($Y$6*$AD$6&gt;=$H$1,0.5,IF($N$6=$C$1,0,1)))*(1+IF($N$6=$D$1,IF($Y$6*$AD$6&gt;=$K$1,0.4,IF($Y$6*$AD$6&gt;=$J$1,0.2,0)),0))*IF($N$6=$E$1,G38/$F$1,$B8*$D8*$E8^(G$2-1)),0.01),0)</f>
        <v>1.2</v>
      </c>
      <c r="H8" s="39">
        <f>IF(CEILING(IF($N$6=$E$1,$E38,$B8*$D8/3),1)&gt;=H$2,CEILING($F$1*IF($Y$6*$AD$6&gt;=$I$1,1,IF($Y$6*$AD$6&gt;=$H$1,0.5,IF($N$6=$C$1,0,1)))*(1+IF($N$6=$D$1,IF($Y$6*$AD$6&gt;=$K$1,0.4,IF($Y$6*$AD$6&gt;=$J$1,0.2,0)),0))*IF($N$6=$E$1,H38/$F$1,$B8*$D8*$E8^(H$2-1)),0.01),0)</f>
        <v>0.8</v>
      </c>
      <c r="I8" s="39">
        <f>IF(CEILING(IF($N$6=$E$1,$E38,$B8*$D8/3),1)&gt;=I$2,CEILING($F$1*IF($Y$6*$AD$6&gt;=$I$1,1,IF($Y$6*$AD$6&gt;=$H$1,0.5,IF($N$6=$C$1,0,1)))*(1+IF($N$6=$D$1,IF($Y$6*$AD$6&gt;=$K$1,0.4,IF($Y$6*$AD$6&gt;=$J$1,0.2,0)),0))*IF($N$6=$E$1,I38/$F$1,$B8*$D8*$E8^(I$2-1)),0.01),0)</f>
        <v>0.54</v>
      </c>
      <c r="J8" s="39">
        <f>IF(CEILING(IF($N$6=$E$1,$E38,$B8*$D8/3),1)&gt;=J$2,CEILING($F$1*IF($Y$6*$AD$6&gt;=$I$1,1,IF($Y$6*$AD$6&gt;=$H$1,0.5,IF($N$6=$C$1,0,1)))*(1+IF($N$6=$D$1,IF($Y$6*$AD$6&gt;=$K$1,0.4,IF($Y$6*$AD$6&gt;=$J$1,0.2,0)),0))*IF($N$6=$E$1,J38/$F$1,$B8*$D8*$E8^(J$2-1)),0.01),0)</f>
        <v>0.36</v>
      </c>
      <c r="K8" s="39">
        <f>IF(CEILING(IF($N$6=$E$1,$E38,$B8*$D8/3),1)&gt;=K$2,CEILING($F$1*IF($Y$6*$AD$6&gt;=$I$1,1,IF($Y$6*$AD$6&gt;=$H$1,0.5,IF($N$6=$C$1,0,1)))*(1+IF($N$6=$D$1,IF($Y$6*$AD$6&gt;=$K$1,0.4,IF($Y$6*$AD$6&gt;=$J$1,0.2,0)),0))*IF($N$6=$E$1,K38/$F$1,$B8*$D8*$E8^(K$2-1)),0.01),0)</f>
        <v>0.24</v>
      </c>
      <c r="L8" s="39">
        <f>IF(CEILING(IF($N$6=$E$1,$E38,$B8*$D8/3),1)&gt;=L$2,CEILING($F$1*IF($Y$6*$AD$6&gt;=$I$1,1,IF($Y$6*$AD$6&gt;=$H$1,0.5,IF($N$6=$C$1,0,1)))*(1+IF($N$6=$D$1,IF($Y$6*$AD$6&gt;=$K$1,0.4,IF($Y$6*$AD$6&gt;=$J$1,0.2,0)),0))*IF($N$6=$E$1,L38/$F$1,$B8*$D8*$E8^(L$2-1)),0.01),0)</f>
        <v>0</v>
      </c>
      <c r="M8" s="39">
        <f>IF(CEILING(IF($N$6=$E$1,$E38,$B8*$D8/3),1)&gt;=M$2,CEILING($F$1*IF($Y$6*$AD$6&gt;=$I$1,1,IF($Y$6*$AD$6&gt;=$H$1,0.5,IF($N$6=$C$1,0,1)))*(1+IF($N$6=$D$1,IF($Y$6*$AD$6&gt;=$K$1,0.4,IF($Y$6*$AD$6&gt;=$J$1,0.2,0)),0))*IF($N$6=$E$1,M38/$F$1,$B8*$D8*$E8^(M$2-1)),0.01),0)</f>
        <v>0</v>
      </c>
      <c r="N8" s="39">
        <f>IF(CEILING(IF($N$6=$E$1,$E38,$B8*$D8/3),1)&gt;=N$2,CEILING($F$1*IF($Y$6*$AD$6&gt;=$I$1,1,IF($Y$6*$AD$6&gt;=$H$1,0.5,IF($N$6=$C$1,0,1)))*(1+IF($N$6=$D$1,IF($Y$6*$AD$6&gt;=$K$1,0.4,IF($Y$6*$AD$6&gt;=$J$1,0.2,0)),0))*IF($N$6=$E$1,N38/$F$1,$B8*$D8*$E8^(N$2-1)),0.01),0)</f>
        <v>0</v>
      </c>
      <c r="O8" s="39">
        <f>IF(CEILING(IF($N$6=$E$1,$E38,$B8*$D8/3),1)&gt;=O$2,CEILING($F$1*IF($Y$6*$AD$6&gt;=$I$1,1,IF($Y$6*$AD$6&gt;=$H$1,0.5,IF($N$6=$C$1,0,1)))*(1+IF($N$6=$D$1,IF($Y$6*$AD$6&gt;=$K$1,0.4,IF($Y$6*$AD$6&gt;=$J$1,0.2,0)),0))*IF($N$6=$E$1,O38/$F$1,$B8*$D8*$E8^(O$2-1)),0.01),0)</f>
        <v>0</v>
      </c>
      <c r="P8" s="39">
        <f>IF(CEILING(IF($N$6=$E$1,$E38,$B8*$D8/3),1)&gt;=P$2,CEILING($F$1*IF($Y$6*$AD$6&gt;=$I$1,1,IF($Y$6*$AD$6&gt;=$H$1,0.5,IF($N$6=$C$1,0,1)))*(1+IF($N$6=$D$1,IF($Y$6*$AD$6&gt;=$K$1,0.4,IF($Y$6*$AD$6&gt;=$J$1,0.2,0)),0))*IF($N$6=$E$1,P38/$F$1,$B8*$D8*$E8^(P$2-1)),0.01),0)</f>
        <v>0</v>
      </c>
      <c r="Q8" s="39">
        <f>IF(CEILING(IF($N$6=$E$1,$E38,$B8*$D8/3),1)&gt;=Q$2,CEILING($F$1*IF($Y$6*$AD$6&gt;=$I$1,1,IF($Y$6*$AD$6&gt;=$H$1,0.5,IF($N$6=$C$1,0,1)))*(1+IF($N$6=$D$1,IF($Y$6*$AD$6&gt;=$K$1,0.4,IF($Y$6*$AD$6&gt;=$J$1,0.2,0)),0))*IF($N$6=$E$1,Q38/$F$1,$B8*$D8*$E8^(Q$2-1)),0.01),0)</f>
        <v>0</v>
      </c>
      <c r="R8" s="39">
        <f>IF(CEILING(IF($N$6=$E$1,$E38,$B8*$D8/3),1)&gt;=R$2,CEILING($F$1*IF($Y$6*$AD$6&gt;=$I$1,1,IF($Y$6*$AD$6&gt;=$H$1,0.5,IF($N$6=$C$1,0,1)))*(1+IF($N$6=$D$1,IF($Y$6*$AD$6&gt;=$K$1,0.4,IF($Y$6*$AD$6&gt;=$J$1,0.2,0)),0))*IF($N$6=$E$1,R38/$F$1,$B8*$D8*$E8^(R$2-1)),0.01),0)</f>
        <v>0</v>
      </c>
      <c r="S8" s="39">
        <f>IF(CEILING(IF($N$6=$E$1,$E38,$B8*$D8/3),1)&gt;=S$2,CEILING($F$1*IF($Y$6*$AD$6&gt;=$I$1,1,IF($Y$6*$AD$6&gt;=$H$1,0.5,IF($N$6=$C$1,0,1)))*(1+IF($N$6=$D$1,IF($Y$6*$AD$6&gt;=$K$1,0.4,IF($Y$6*$AD$6&gt;=$J$1,0.2,0)),0))*IF($N$6=$E$1,S38/$F$1,$B8*$D8*$E8^(S$2-1)),0.01),0)</f>
        <v>0</v>
      </c>
      <c r="T8" s="39">
        <f>IF(CEILING(IF($N$6=$E$1,$E38,$B8*$D8/3),1)&gt;=T$2,CEILING($F$1*IF($Y$6*$AD$6&gt;=$I$1,1,IF($Y$6*$AD$6&gt;=$H$1,0.5,IF($N$6=$C$1,0,1)))*(1+IF($N$6=$D$1,IF($Y$6*$AD$6&gt;=$K$1,0.4,IF($Y$6*$AD$6&gt;=$J$1,0.2,0)),0))*IF($N$6=$E$1,T38/$F$1,$B8*$D8*$E8^(T$2-1)),0.01),0)</f>
        <v>0</v>
      </c>
      <c r="U8" s="39">
        <f>IF(CEILING(IF($N$6=$E$1,$E38,$B8*$D8/3),1)&gt;=U$2,CEILING($F$1*IF($Y$6*$AD$6&gt;=$I$1,1,IF($Y$6*$AD$6&gt;=$H$1,0.5,IF($N$6=$C$1,0,1)))*(1+IF($N$6=$D$1,IF($Y$6*$AD$6&gt;=$K$1,0.4,IF($Y$6*$AD$6&gt;=$J$1,0.2,0)),0))*IF($N$6=$E$1,U38/$F$1,$B8*$D8*$E8^(U$2-1)),0.01),0)</f>
        <v>0</v>
      </c>
      <c r="V8" s="39">
        <f>IF(CEILING(IF($N$6=$E$1,$E38,$B8*$D8/3),1)&gt;=V$2,CEILING($F$1*IF($Y$6*$AD$6&gt;=$I$1,1,IF($Y$6*$AD$6&gt;=$H$1,0.5,IF($N$6=$C$1,0,1)))*(1+IF($N$6=$D$1,IF($Y$6*$AD$6&gt;=$K$1,0.4,IF($Y$6*$AD$6&gt;=$J$1,0.2,0)),0))*IF($N$6=$E$1,V38/$F$1,$B8*$D8*$E8^(V$2-1)),0.01),0)</f>
        <v>0</v>
      </c>
      <c r="W8" s="39">
        <f>IF(CEILING(IF($N$6=$E$1,$E38,$B8*$D8/3),1)&gt;=W$2,CEILING($F$1*IF($Y$6*$AD$6&gt;=$I$1,1,IF($Y$6*$AD$6&gt;=$H$1,0.5,IF($N$6=$C$1,0,1)))*(1+IF($N$6=$D$1,IF($Y$6*$AD$6&gt;=$K$1,0.4,IF($Y$6*$AD$6&gt;=$J$1,0.2,0)),0))*IF($N$6=$E$1,W38/$F$1,$B8*$D8*$E8^(W$2-1)),0.01),0)</f>
        <v>0</v>
      </c>
      <c r="X8" s="39">
        <f>IF(CEILING(IF($N$6=$E$1,$E38,$B8*$D8/3),1)&gt;=X$2,CEILING($F$1*IF($Y$6*$AD$6&gt;=$I$1,1,IF($Y$6*$AD$6&gt;=$H$1,0.5,IF($N$6=$C$1,0,1)))*(1+IF($N$6=$D$1,IF($Y$6*$AD$6&gt;=$K$1,0.4,IF($Y$6*$AD$6&gt;=$J$1,0.2,0)),0))*IF($N$6=$E$1,X38/$F$1,$B8*$D8*$E8^(X$2-1)),0.01),0)</f>
        <v>0</v>
      </c>
      <c r="Y8" s="39">
        <f>IF(CEILING(IF($N$6=$E$1,$E38,$B8*$D8/3),1)&gt;=Y$2,CEILING($F$1*IF($Y$6*$AD$6&gt;=$I$1,1,IF($Y$6*$AD$6&gt;=$H$1,0.5,IF($N$6=$C$1,0,1)))*(1+IF($N$6=$D$1,IF($Y$6*$AD$6&gt;=$K$1,0.4,IF($Y$6*$AD$6&gt;=$J$1,0.2,0)),0))*IF($N$6=$E$1,Y38/$F$1,$B8*$D8*$E8^(Y$2-1)),0.01),0)</f>
        <v>0</v>
      </c>
      <c r="Z8" s="39">
        <f>IF(CEILING(IF($N$6=$E$1,$E38,$B8*$D8/3),1)&gt;=Z$2,CEILING($F$1*IF($Y$6*$AD$6&gt;=$I$1,1,IF($Y$6*$AD$6&gt;=$H$1,0.5,IF($N$6=$C$1,0,1)))*(1+IF($N$6=$D$1,IF($Y$6*$AD$6&gt;=$K$1,0.4,IF($Y$6*$AD$6&gt;=$J$1,0.2,0)),0))*IF($N$6=$E$1,Z38/$F$1,$B8*$D8*$E8^(Z$2-1)),0.01),0)</f>
        <v>0</v>
      </c>
      <c r="AA8" s="39">
        <f>IF(CEILING(IF($N$6=$E$1,$E38,$B8*$D8/3),1)&gt;=AA$2,CEILING($F$1*IF($Y$6*$AD$6&gt;=$I$1,1,IF($Y$6*$AD$6&gt;=$H$1,0.5,IF($N$6=$C$1,0,1)))*(1+IF($N$6=$D$1,IF($Y$6*$AD$6&gt;=$K$1,0.4,IF($Y$6*$AD$6&gt;=$J$1,0.2,0)),0))*IF($N$6=$E$1,AA38/$F$1,$B8*$D8*$E8^(AA$2-1)),0.01),0)</f>
        <v>0</v>
      </c>
      <c r="AB8" s="39">
        <f>IF(CEILING(IF($N$6=$E$1,$E38,$B8*$D8/3),1)&gt;=AB$2,CEILING($F$1*IF($Y$6*$AD$6&gt;=$I$1,1,IF($Y$6*$AD$6&gt;=$H$1,0.5,IF($N$6=$C$1,0,1)))*(1+IF($N$6=$D$1,IF($Y$6*$AD$6&gt;=$K$1,0.4,IF($Y$6*$AD$6&gt;=$J$1,0.2,0)),0))*IF($N$6=$E$1,AB38/$F$1,$B8*$D8*$E8^(AB$2-1)),0.01),0)</f>
        <v>0</v>
      </c>
      <c r="AC8" s="39">
        <f>IF(CEILING(IF($N$6=$E$1,$E38,$B8*$D8/3),1)&gt;=AC$2,CEILING($F$1*IF($Y$6*$AD$6&gt;=$I$1,1,IF($Y$6*$AD$6&gt;=$H$1,0.5,IF($N$6=$C$1,0,1)))*(1+IF($N$6=$D$1,IF($Y$6*$AD$6&gt;=$K$1,0.4,IF($Y$6*$AD$6&gt;=$J$1,0.2,0)),0))*IF($N$6=$E$1,AC38/$F$1,$B8*$D8*$E8^(AC$2-1)),0.01),0)</f>
        <v>0</v>
      </c>
      <c r="AD8" s="39">
        <f>IF(CEILING(IF($N$6=$E$1,$E38,$B8*$D8/3),1)&gt;=AD$2,CEILING($F$1*IF($Y$6*$AD$6&gt;=$I$1,1,IF($Y$6*$AD$6&gt;=$H$1,0.5,IF($N$6=$C$1,0,1)))*(1+IF($N$6=$D$1,IF($Y$6*$AD$6&gt;=$K$1,0.4,IF($Y$6*$AD$6&gt;=$J$1,0.2,0)),0))*IF($N$6=$E$1,AD38/$F$1,$B8*$D8*$E8^(AD$2-1)),0.01),0)</f>
        <v>0</v>
      </c>
      <c r="AE8" s="137">
        <f>IF($N$6=$E$1,"DM Seniorpar finale",0)</f>
        <v>0</v>
      </c>
      <c r="AF8" s="137"/>
      <c r="AG8" s="137"/>
      <c r="AH8" s="137"/>
      <c r="AI8" s="138"/>
    </row>
    <row r="9" spans="1:35" x14ac:dyDescent="0.25">
      <c r="A9" s="97"/>
      <c r="B9" s="60"/>
      <c r="C9" s="6"/>
      <c r="D9" s="68"/>
      <c r="E9" s="64"/>
      <c r="F9" s="41"/>
      <c r="G9" s="41"/>
      <c r="H9" s="41"/>
      <c r="I9" s="41"/>
      <c r="J9" s="42"/>
      <c r="K9" s="42"/>
      <c r="L9" s="42"/>
      <c r="M9" s="42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3"/>
    </row>
    <row r="10" spans="1:35" x14ac:dyDescent="0.25">
      <c r="A10" s="97"/>
      <c r="B10" s="60"/>
      <c r="C10" s="6"/>
      <c r="D10" s="68"/>
      <c r="E10" s="64"/>
      <c r="F10" s="134" t="s">
        <v>11</v>
      </c>
      <c r="G10" s="134"/>
      <c r="H10" s="134"/>
      <c r="I10" s="36">
        <v>3</v>
      </c>
      <c r="J10" s="135" t="s">
        <v>3</v>
      </c>
      <c r="K10" s="135"/>
      <c r="L10" s="135"/>
      <c r="M10" s="135"/>
      <c r="N10" s="130" t="s">
        <v>5</v>
      </c>
      <c r="O10" s="130"/>
      <c r="P10" s="132" t="s">
        <v>1</v>
      </c>
      <c r="Q10" s="132"/>
      <c r="R10" s="132"/>
      <c r="S10" s="132"/>
      <c r="T10" s="15">
        <v>20</v>
      </c>
      <c r="U10" s="132" t="s">
        <v>2</v>
      </c>
      <c r="V10" s="132"/>
      <c r="W10" s="132"/>
      <c r="X10" s="132"/>
      <c r="Y10" s="15">
        <v>19</v>
      </c>
      <c r="Z10" s="132" t="s">
        <v>4</v>
      </c>
      <c r="AA10" s="132"/>
      <c r="AB10" s="132"/>
      <c r="AC10" s="132"/>
      <c r="AD10" s="15">
        <v>3</v>
      </c>
      <c r="AE10" s="37"/>
      <c r="AF10" s="37"/>
      <c r="AG10" s="37"/>
      <c r="AH10" s="37"/>
      <c r="AI10" s="38"/>
    </row>
    <row r="11" spans="1:35" x14ac:dyDescent="0.25">
      <c r="A11" s="97">
        <v>1</v>
      </c>
      <c r="B11" s="60">
        <v>1.1499999999999999</v>
      </c>
      <c r="C11" s="16">
        <v>0</v>
      </c>
      <c r="D11" s="67">
        <f>CEILING(1+MIN(Y$10,T$10-C11-1)+MAX((T$10-C11-1-Y$10)/$M$1,0),1)</f>
        <v>20</v>
      </c>
      <c r="E11" s="63">
        <f>MAX(($G$1/($F$1*D11))^(1/(ROUNDUP(D11/3,)-1)),2/3)</f>
        <v>0.66666666666666663</v>
      </c>
      <c r="F11" s="39">
        <f>IF(CEILING(IF($N$10=$E$1,$E41,$B11*$D11/3),1)&gt;=F$2,CEILING($F$1*IF($Y$10*$AD$10&gt;=$I$1,1,IF($Y$10*$AD$10&gt;=$H$1,0.5,IF($N$10=$C$1,0,1)))*(1+IF($N$10=$D$1,IF($Y$10*$AD$10&gt;=$K$1,0.4,IF($Y$10*$AD$10&gt;=$J$1,0.2,0)),0))*IF($N$10=$E$1,F41/$F$1,$B11*$D11*$E11^(F$2-1)),0.01),0)</f>
        <v>2.3000000000000003</v>
      </c>
      <c r="G11" s="39">
        <f>IF(CEILING(IF($N$10=$E$1,$E41,$B11*$D11/3),1)&gt;=G$2,CEILING($F$1*IF($Y$10*$AD$10&gt;=$I$1,1,IF($Y$10*$AD$10&gt;=$H$1,0.5,IF($N$10=$C$1,0,1)))*(1+IF($N$10=$D$1,IF($Y$10*$AD$10&gt;=$K$1,0.4,IF($Y$10*$AD$10&gt;=$J$1,0.2,0)),0))*IF($N$10=$E$1,G41/$F$1,$B11*$D11*$E11^(G$2-1)),0.01),0)</f>
        <v>1.54</v>
      </c>
      <c r="H11" s="39">
        <f>IF(CEILING(IF($N$10=$E$1,$E41,$B11*$D11/3),1)&gt;=H$2,CEILING($F$1*IF($Y$10*$AD$10&gt;=$I$1,1,IF($Y$10*$AD$10&gt;=$H$1,0.5,IF($N$10=$C$1,0,1)))*(1+IF($N$10=$D$1,IF($Y$10*$AD$10&gt;=$K$1,0.4,IF($Y$10*$AD$10&gt;=$J$1,0.2,0)),0))*IF($N$10=$E$1,H41/$F$1,$B11*$D11*$E11^(H$2-1)),0.01),0)</f>
        <v>1.03</v>
      </c>
      <c r="I11" s="39">
        <f>IF(CEILING(IF($N$10=$E$1,$E41,$B11*$D11/3),1)&gt;=I$2,CEILING($F$1*IF($Y$10*$AD$10&gt;=$I$1,1,IF($Y$10*$AD$10&gt;=$H$1,0.5,IF($N$10=$C$1,0,1)))*(1+IF($N$10=$D$1,IF($Y$10*$AD$10&gt;=$K$1,0.4,IF($Y$10*$AD$10&gt;=$J$1,0.2,0)),0))*IF($N$10=$E$1,I41/$F$1,$B11*$D11*$E11^(I$2-1)),0.01),0)</f>
        <v>0.69000000000000006</v>
      </c>
      <c r="J11" s="39">
        <f>IF(CEILING(IF($N$10=$E$1,$E41,$B11*$D11/3),1)&gt;=J$2,CEILING($F$1*IF($Y$10*$AD$10&gt;=$I$1,1,IF($Y$10*$AD$10&gt;=$H$1,0.5,IF($N$10=$C$1,0,1)))*(1+IF($N$10=$D$1,IF($Y$10*$AD$10&gt;=$K$1,0.4,IF($Y$10*$AD$10&gt;=$J$1,0.2,0)),0))*IF($N$10=$E$1,J41/$F$1,$B11*$D11*$E11^(J$2-1)),0.01),0)</f>
        <v>0.46</v>
      </c>
      <c r="K11" s="39">
        <f>IF(CEILING(IF($N$10=$E$1,$E41,$B11*$D11/3),1)&gt;=K$2,CEILING($F$1*IF($Y$10*$AD$10&gt;=$I$1,1,IF($Y$10*$AD$10&gt;=$H$1,0.5,IF($N$10=$C$1,0,1)))*(1+IF($N$10=$D$1,IF($Y$10*$AD$10&gt;=$K$1,0.4,IF($Y$10*$AD$10&gt;=$J$1,0.2,0)),0))*IF($N$10=$E$1,K41/$F$1,$B11*$D11*$E11^(K$2-1)),0.01),0)</f>
        <v>0.31</v>
      </c>
      <c r="L11" s="39">
        <f>IF(CEILING(IF($N$10=$E$1,$E41,$B11*$D11/3),1)&gt;=L$2,CEILING($F$1*IF($Y$10*$AD$10&gt;=$I$1,1,IF($Y$10*$AD$10&gt;=$H$1,0.5,IF($N$10=$C$1,0,1)))*(1+IF($N$10=$D$1,IF($Y$10*$AD$10&gt;=$K$1,0.4,IF($Y$10*$AD$10&gt;=$J$1,0.2,0)),0))*IF($N$10=$E$1,L41/$F$1,$B11*$D11*$E11^(L$2-1)),0.01),0)</f>
        <v>0.21</v>
      </c>
      <c r="M11" s="39">
        <f>IF(CEILING(IF($N$10=$E$1,$E41,$B11*$D11/3),1)&gt;=M$2,CEILING($F$1*IF($Y$10*$AD$10&gt;=$I$1,1,IF($Y$10*$AD$10&gt;=$H$1,0.5,IF($N$10=$C$1,0,1)))*(1+IF($N$10=$D$1,IF($Y$10*$AD$10&gt;=$K$1,0.4,IF($Y$10*$AD$10&gt;=$J$1,0.2,0)),0))*IF($N$10=$E$1,M41/$F$1,$B11*$D11*$E11^(M$2-1)),0.01),0)</f>
        <v>0.14000000000000001</v>
      </c>
      <c r="N11" s="39">
        <f>IF(CEILING(IF($N$10=$E$1,$E41,$B11*$D11/3),1)&gt;=N$2,CEILING($F$1*IF($Y$10*$AD$10&gt;=$I$1,1,IF($Y$10*$AD$10&gt;=$H$1,0.5,IF($N$10=$C$1,0,1)))*(1+IF($N$10=$D$1,IF($Y$10*$AD$10&gt;=$K$1,0.4,IF($Y$10*$AD$10&gt;=$J$1,0.2,0)),0))*IF($N$10=$E$1,N41/$F$1,$B11*$D11*$E11^(N$2-1)),0.01),0)</f>
        <v>0</v>
      </c>
      <c r="O11" s="39">
        <f>IF(CEILING(IF($N$10=$E$1,$E41,$B11*$D11/3),1)&gt;=O$2,CEILING($F$1*IF($Y$10*$AD$10&gt;=$I$1,1,IF($Y$10*$AD$10&gt;=$H$1,0.5,IF($N$10=$C$1,0,1)))*(1+IF($N$10=$D$1,IF($Y$10*$AD$10&gt;=$K$1,0.4,IF($Y$10*$AD$10&gt;=$J$1,0.2,0)),0))*IF($N$10=$E$1,O41/$F$1,$B11*$D11*$E11^(O$2-1)),0.01),0)</f>
        <v>0</v>
      </c>
      <c r="P11" s="39">
        <f>IF(CEILING(IF($N$10=$E$1,$E41,$B11*$D11/3),1)&gt;=P$2,CEILING($F$1*IF($Y$10*$AD$10&gt;=$I$1,1,IF($Y$10*$AD$10&gt;=$H$1,0.5,IF($N$10=$C$1,0,1)))*(1+IF($N$10=$D$1,IF($Y$10*$AD$10&gt;=$K$1,0.4,IF($Y$10*$AD$10&gt;=$J$1,0.2,0)),0))*IF($N$10=$E$1,P41/$F$1,$B11*$D11*$E11^(P$2-1)),0.01),0)</f>
        <v>0</v>
      </c>
      <c r="Q11" s="39">
        <f>IF(CEILING(IF($N$10=$E$1,$E41,$B11*$D11/3),1)&gt;=Q$2,CEILING($F$1*IF($Y$10*$AD$10&gt;=$I$1,1,IF($Y$10*$AD$10&gt;=$H$1,0.5,IF($N$10=$C$1,0,1)))*(1+IF($N$10=$D$1,IF($Y$10*$AD$10&gt;=$K$1,0.4,IF($Y$10*$AD$10&gt;=$J$1,0.2,0)),0))*IF($N$10=$E$1,Q41/$F$1,$B11*$D11*$E11^(Q$2-1)),0.01),0)</f>
        <v>0</v>
      </c>
      <c r="R11" s="39">
        <f>IF(CEILING(IF($N$10=$E$1,$E41,$B11*$D11/3),1)&gt;=R$2,CEILING($F$1*IF($Y$10*$AD$10&gt;=$I$1,1,IF($Y$10*$AD$10&gt;=$H$1,0.5,IF($N$10=$C$1,0,1)))*(1+IF($N$10=$D$1,IF($Y$10*$AD$10&gt;=$K$1,0.4,IF($Y$10*$AD$10&gt;=$J$1,0.2,0)),0))*IF($N$10=$E$1,R41/$F$1,$B11*$D11*$E11^(R$2-1)),0.01),0)</f>
        <v>0</v>
      </c>
      <c r="S11" s="39">
        <f>IF(CEILING(IF($N$10=$E$1,$E41,$B11*$D11/3),1)&gt;=S$2,CEILING($F$1*IF($Y$10*$AD$10&gt;=$I$1,1,IF($Y$10*$AD$10&gt;=$H$1,0.5,IF($N$10=$C$1,0,1)))*(1+IF($N$10=$D$1,IF($Y$10*$AD$10&gt;=$K$1,0.4,IF($Y$10*$AD$10&gt;=$J$1,0.2,0)),0))*IF($N$10=$E$1,S41/$F$1,$B11*$D11*$E11^(S$2-1)),0.01),0)</f>
        <v>0</v>
      </c>
      <c r="T11" s="39">
        <f>IF(CEILING(IF($N$10=$E$1,$E41,$B11*$D11/3),1)&gt;=T$2,CEILING($F$1*IF($Y$10*$AD$10&gt;=$I$1,1,IF($Y$10*$AD$10&gt;=$H$1,0.5,IF($N$10=$C$1,0,1)))*(1+IF($N$10=$D$1,IF($Y$10*$AD$10&gt;=$K$1,0.4,IF($Y$10*$AD$10&gt;=$J$1,0.2,0)),0))*IF($N$10=$E$1,T41/$F$1,$B11*$D11*$E11^(T$2-1)),0.01),0)</f>
        <v>0</v>
      </c>
      <c r="U11" s="39">
        <f>IF(CEILING(IF($N$10=$E$1,$E41,$B11*$D11/3),1)&gt;=U$2,CEILING($F$1*IF($Y$10*$AD$10&gt;=$I$1,1,IF($Y$10*$AD$10&gt;=$H$1,0.5,IF($N$10=$C$1,0,1)))*(1+IF($N$10=$D$1,IF($Y$10*$AD$10&gt;=$K$1,0.4,IF($Y$10*$AD$10&gt;=$J$1,0.2,0)),0))*IF($N$10=$E$1,U41/$F$1,$B11*$D11*$E11^(U$2-1)),0.01),0)</f>
        <v>0</v>
      </c>
      <c r="V11" s="39">
        <f>IF(CEILING(IF($N$10=$E$1,$E41,$B11*$D11/3),1)&gt;=V$2,CEILING($F$1*IF($Y$10*$AD$10&gt;=$I$1,1,IF($Y$10*$AD$10&gt;=$H$1,0.5,IF($N$10=$C$1,0,1)))*(1+IF($N$10=$D$1,IF($Y$10*$AD$10&gt;=$K$1,0.4,IF($Y$10*$AD$10&gt;=$J$1,0.2,0)),0))*IF($N$10=$E$1,V41/$F$1,$B11*$D11*$E11^(V$2-1)),0.01),0)</f>
        <v>0</v>
      </c>
      <c r="W11" s="39">
        <f>IF(CEILING(IF($N$10=$E$1,$E41,$B11*$D11/3),1)&gt;=W$2,CEILING($F$1*IF($Y$10*$AD$10&gt;=$I$1,1,IF($Y$10*$AD$10&gt;=$H$1,0.5,IF($N$10=$C$1,0,1)))*(1+IF($N$10=$D$1,IF($Y$10*$AD$10&gt;=$K$1,0.4,IF($Y$10*$AD$10&gt;=$J$1,0.2,0)),0))*IF($N$10=$E$1,W41/$F$1,$B11*$D11*$E11^(W$2-1)),0.01),0)</f>
        <v>0</v>
      </c>
      <c r="X11" s="39">
        <f>IF(CEILING(IF($N$10=$E$1,$E41,$B11*$D11/3),1)&gt;=X$2,CEILING($F$1*IF($Y$10*$AD$10&gt;=$I$1,1,IF($Y$10*$AD$10&gt;=$H$1,0.5,IF($N$10=$C$1,0,1)))*(1+IF($N$10=$D$1,IF($Y$10*$AD$10&gt;=$K$1,0.4,IF($Y$10*$AD$10&gt;=$J$1,0.2,0)),0))*IF($N$10=$E$1,X41/$F$1,$B11*$D11*$E11^(X$2-1)),0.01),0)</f>
        <v>0</v>
      </c>
      <c r="Y11" s="39">
        <f>IF(CEILING(IF($N$10=$E$1,$E41,$B11*$D11/3),1)&gt;=Y$2,CEILING($F$1*IF($Y$10*$AD$10&gt;=$I$1,1,IF($Y$10*$AD$10&gt;=$H$1,0.5,IF($N$10=$C$1,0,1)))*(1+IF($N$10=$D$1,IF($Y$10*$AD$10&gt;=$K$1,0.4,IF($Y$10*$AD$10&gt;=$J$1,0.2,0)),0))*IF($N$10=$E$1,Y41/$F$1,$B11*$D11*$E11^(Y$2-1)),0.01),0)</f>
        <v>0</v>
      </c>
      <c r="Z11" s="39">
        <f>IF(CEILING(IF($N$10=$E$1,$E41,$B11*$D11/3),1)&gt;=Z$2,CEILING($F$1*IF($Y$10*$AD$10&gt;=$I$1,1,IF($Y$10*$AD$10&gt;=$H$1,0.5,IF($N$10=$C$1,0,1)))*(1+IF($N$10=$D$1,IF($Y$10*$AD$10&gt;=$K$1,0.4,IF($Y$10*$AD$10&gt;=$J$1,0.2,0)),0))*IF($N$10=$E$1,Z41/$F$1,$B11*$D11*$E11^(Z$2-1)),0.01),0)</f>
        <v>0</v>
      </c>
      <c r="AA11" s="39">
        <f>IF(CEILING(IF($N$10=$E$1,$E41,$B11*$D11/3),1)&gt;=AA$2,CEILING($F$1*IF($Y$10*$AD$10&gt;=$I$1,1,IF($Y$10*$AD$10&gt;=$H$1,0.5,IF($N$10=$C$1,0,1)))*(1+IF($N$10=$D$1,IF($Y$10*$AD$10&gt;=$K$1,0.4,IF($Y$10*$AD$10&gt;=$J$1,0.2,0)),0))*IF($N$10=$E$1,AA41/$F$1,$B11*$D11*$E11^(AA$2-1)),0.01),0)</f>
        <v>0</v>
      </c>
      <c r="AB11" s="39">
        <f>IF(CEILING(IF($N$10=$E$1,$E41,$B11*$D11/3),1)&gt;=AB$2,CEILING($F$1*IF($Y$10*$AD$10&gt;=$I$1,1,IF($Y$10*$AD$10&gt;=$H$1,0.5,IF($N$10=$C$1,0,1)))*(1+IF($N$10=$D$1,IF($Y$10*$AD$10&gt;=$K$1,0.4,IF($Y$10*$AD$10&gt;=$J$1,0.2,0)),0))*IF($N$10=$E$1,AB41/$F$1,$B11*$D11*$E11^(AB$2-1)),0.01),0)</f>
        <v>0</v>
      </c>
      <c r="AC11" s="39">
        <f>IF(CEILING(IF($N$10=$E$1,$E41,$B11*$D11/3),1)&gt;=AC$2,CEILING($F$1*IF($Y$10*$AD$10&gt;=$I$1,1,IF($Y$10*$AD$10&gt;=$H$1,0.5,IF($N$10=$C$1,0,1)))*(1+IF($N$10=$D$1,IF($Y$10*$AD$10&gt;=$K$1,0.4,IF($Y$10*$AD$10&gt;=$J$1,0.2,0)),0))*IF($N$10=$E$1,AC41/$F$1,$B11*$D11*$E11^(AC$2-1)),0.01),0)</f>
        <v>0</v>
      </c>
      <c r="AD11" s="39">
        <f>IF(CEILING(IF($N$10=$E$1,$E41,$B11*$D11/3),1)&gt;=AD$2,CEILING($F$1*IF($Y$10*$AD$10&gt;=$I$1,1,IF($Y$10*$AD$10&gt;=$H$1,0.5,IF($N$10=$C$1,0,1)))*(1+IF($N$10=$D$1,IF($Y$10*$AD$10&gt;=$K$1,0.4,IF($Y$10*$AD$10&gt;=$J$1,0.2,0)),0))*IF($N$10=$E$1,AD41/$F$1,$B11*$D11*$E11^(AD$2-1)),0.01),0)</f>
        <v>0</v>
      </c>
      <c r="AE11" s="137">
        <f>IF($N$10=$E$1,"DM Mixedpar A-finale",0)</f>
        <v>0</v>
      </c>
      <c r="AF11" s="137"/>
      <c r="AG11" s="137"/>
      <c r="AH11" s="137"/>
      <c r="AI11" s="138"/>
    </row>
    <row r="12" spans="1:35" x14ac:dyDescent="0.25">
      <c r="A12" s="97">
        <v>2</v>
      </c>
      <c r="B12" s="60">
        <v>1</v>
      </c>
      <c r="C12" s="16">
        <v>0</v>
      </c>
      <c r="D12" s="67">
        <f>CEILING(1+MIN(Y$10,T$10-C12-1)+MAX((T$10-C12-1-Y$10)/$M$1,0),1)</f>
        <v>20</v>
      </c>
      <c r="E12" s="63">
        <f>MAX(($G$1/($F$1*D12))^(1/(ROUNDUP(D12/3,)-1)),2/3)</f>
        <v>0.66666666666666663</v>
      </c>
      <c r="F12" s="39">
        <f>IF(CEILING(IF($N$10=$E$1,$E42,$B12*$D12/3),1)&gt;=F$2,CEILING($F$1*IF($Y$10*$AD$10&gt;=$I$1,1,IF($Y$10*$AD$10&gt;=$H$1,0.5,IF($N$10=$C$1,0,1)))*(1+IF($N$10=$D$1,IF($Y$10*$AD$10&gt;=$K$1,0.4,IF($Y$10*$AD$10&gt;=$J$1,0.2,0)),0))*IF($N$10=$E$1,F42/$F$1,$B12*$D12*$E12^(F$2-1)),0.01),0)</f>
        <v>2</v>
      </c>
      <c r="G12" s="39">
        <f>IF(CEILING(IF($N$10=$E$1,$E42,$B12*$D12/3),1)&gt;=G$2,CEILING($F$1*IF($Y$10*$AD$10&gt;=$I$1,1,IF($Y$10*$AD$10&gt;=$H$1,0.5,IF($N$10=$C$1,0,1)))*(1+IF($N$10=$D$1,IF($Y$10*$AD$10&gt;=$K$1,0.4,IF($Y$10*$AD$10&gt;=$J$1,0.2,0)),0))*IF($N$10=$E$1,G42/$F$1,$B12*$D12*$E12^(G$2-1)),0.01),0)</f>
        <v>1.34</v>
      </c>
      <c r="H12" s="39">
        <f>IF(CEILING(IF($N$10=$E$1,$E42,$B12*$D12/3),1)&gt;=H$2,CEILING($F$1*IF($Y$10*$AD$10&gt;=$I$1,1,IF($Y$10*$AD$10&gt;=$H$1,0.5,IF($N$10=$C$1,0,1)))*(1+IF($N$10=$D$1,IF($Y$10*$AD$10&gt;=$K$1,0.4,IF($Y$10*$AD$10&gt;=$J$1,0.2,0)),0))*IF($N$10=$E$1,H42/$F$1,$B12*$D12*$E12^(H$2-1)),0.01),0)</f>
        <v>0.89</v>
      </c>
      <c r="I12" s="39">
        <f>IF(CEILING(IF($N$10=$E$1,$E42,$B12*$D12/3),1)&gt;=I$2,CEILING($F$1*IF($Y$10*$AD$10&gt;=$I$1,1,IF($Y$10*$AD$10&gt;=$H$1,0.5,IF($N$10=$C$1,0,1)))*(1+IF($N$10=$D$1,IF($Y$10*$AD$10&gt;=$K$1,0.4,IF($Y$10*$AD$10&gt;=$J$1,0.2,0)),0))*IF($N$10=$E$1,I42/$F$1,$B12*$D12*$E12^(I$2-1)),0.01),0)</f>
        <v>0.6</v>
      </c>
      <c r="J12" s="39">
        <f>IF(CEILING(IF($N$10=$E$1,$E42,$B12*$D12/3),1)&gt;=J$2,CEILING($F$1*IF($Y$10*$AD$10&gt;=$I$1,1,IF($Y$10*$AD$10&gt;=$H$1,0.5,IF($N$10=$C$1,0,1)))*(1+IF($N$10=$D$1,IF($Y$10*$AD$10&gt;=$K$1,0.4,IF($Y$10*$AD$10&gt;=$J$1,0.2,0)),0))*IF($N$10=$E$1,J42/$F$1,$B12*$D12*$E12^(J$2-1)),0.01),0)</f>
        <v>0.4</v>
      </c>
      <c r="K12" s="39">
        <f>IF(CEILING(IF($N$10=$E$1,$E42,$B12*$D12/3),1)&gt;=K$2,CEILING($F$1*IF($Y$10*$AD$10&gt;=$I$1,1,IF($Y$10*$AD$10&gt;=$H$1,0.5,IF($N$10=$C$1,0,1)))*(1+IF($N$10=$D$1,IF($Y$10*$AD$10&gt;=$K$1,0.4,IF($Y$10*$AD$10&gt;=$J$1,0.2,0)),0))*IF($N$10=$E$1,K42/$F$1,$B12*$D12*$E12^(K$2-1)),0.01),0)</f>
        <v>0.27</v>
      </c>
      <c r="L12" s="39">
        <f>IF(CEILING(IF($N$10=$E$1,$E42,$B12*$D12/3),1)&gt;=L$2,CEILING($F$1*IF($Y$10*$AD$10&gt;=$I$1,1,IF($Y$10*$AD$10&gt;=$H$1,0.5,IF($N$10=$C$1,0,1)))*(1+IF($N$10=$D$1,IF($Y$10*$AD$10&gt;=$K$1,0.4,IF($Y$10*$AD$10&gt;=$J$1,0.2,0)),0))*IF($N$10=$E$1,L42/$F$1,$B12*$D12*$E12^(L$2-1)),0.01),0)</f>
        <v>0.18</v>
      </c>
      <c r="M12" s="39">
        <f>IF(CEILING(IF($N$10=$E$1,$E42,$B12*$D12/3),1)&gt;=M$2,CEILING($F$1*IF($Y$10*$AD$10&gt;=$I$1,1,IF($Y$10*$AD$10&gt;=$H$1,0.5,IF($N$10=$C$1,0,1)))*(1+IF($N$10=$D$1,IF($Y$10*$AD$10&gt;=$K$1,0.4,IF($Y$10*$AD$10&gt;=$J$1,0.2,0)),0))*IF($N$10=$E$1,M42/$F$1,$B12*$D12*$E12^(M$2-1)),0.01),0)</f>
        <v>0</v>
      </c>
      <c r="N12" s="39">
        <f>IF(CEILING(IF($N$10=$E$1,$E42,$B12*$D12/3),1)&gt;=N$2,CEILING($F$1*IF($Y$10*$AD$10&gt;=$I$1,1,IF($Y$10*$AD$10&gt;=$H$1,0.5,IF($N$10=$C$1,0,1)))*(1+IF($N$10=$D$1,IF($Y$10*$AD$10&gt;=$K$1,0.4,IF($Y$10*$AD$10&gt;=$J$1,0.2,0)),0))*IF($N$10=$E$1,N42/$F$1,$B12*$D12*$E12^(N$2-1)),0.01),0)</f>
        <v>0</v>
      </c>
      <c r="O12" s="39">
        <f>IF(CEILING(IF($N$10=$E$1,$E42,$B12*$D12/3),1)&gt;=O$2,CEILING($F$1*IF($Y$10*$AD$10&gt;=$I$1,1,IF($Y$10*$AD$10&gt;=$H$1,0.5,IF($N$10=$C$1,0,1)))*(1+IF($N$10=$D$1,IF($Y$10*$AD$10&gt;=$K$1,0.4,IF($Y$10*$AD$10&gt;=$J$1,0.2,0)),0))*IF($N$10=$E$1,O42/$F$1,$B12*$D12*$E12^(O$2-1)),0.01),0)</f>
        <v>0</v>
      </c>
      <c r="P12" s="39">
        <f>IF(CEILING(IF($N$10=$E$1,$E42,$B12*$D12/3),1)&gt;=P$2,CEILING($F$1*IF($Y$10*$AD$10&gt;=$I$1,1,IF($Y$10*$AD$10&gt;=$H$1,0.5,IF($N$10=$C$1,0,1)))*(1+IF($N$10=$D$1,IF($Y$10*$AD$10&gt;=$K$1,0.4,IF($Y$10*$AD$10&gt;=$J$1,0.2,0)),0))*IF($N$10=$E$1,P42/$F$1,$B12*$D12*$E12^(P$2-1)),0.01),0)</f>
        <v>0</v>
      </c>
      <c r="Q12" s="39">
        <f>IF(CEILING(IF($N$10=$E$1,$E42,$B12*$D12/3),1)&gt;=Q$2,CEILING($F$1*IF($Y$10*$AD$10&gt;=$I$1,1,IF($Y$10*$AD$10&gt;=$H$1,0.5,IF($N$10=$C$1,0,1)))*(1+IF($N$10=$D$1,IF($Y$10*$AD$10&gt;=$K$1,0.4,IF($Y$10*$AD$10&gt;=$J$1,0.2,0)),0))*IF($N$10=$E$1,Q42/$F$1,$B12*$D12*$E12^(Q$2-1)),0.01),0)</f>
        <v>0</v>
      </c>
      <c r="R12" s="39">
        <f>IF(CEILING(IF($N$10=$E$1,$E42,$B12*$D12/3),1)&gt;=R$2,CEILING($F$1*IF($Y$10*$AD$10&gt;=$I$1,1,IF($Y$10*$AD$10&gt;=$H$1,0.5,IF($N$10=$C$1,0,1)))*(1+IF($N$10=$D$1,IF($Y$10*$AD$10&gt;=$K$1,0.4,IF($Y$10*$AD$10&gt;=$J$1,0.2,0)),0))*IF($N$10=$E$1,R42/$F$1,$B12*$D12*$E12^(R$2-1)),0.01),0)</f>
        <v>0</v>
      </c>
      <c r="S12" s="39">
        <f>IF(CEILING(IF($N$10=$E$1,$E42,$B12*$D12/3),1)&gt;=S$2,CEILING($F$1*IF($Y$10*$AD$10&gt;=$I$1,1,IF($Y$10*$AD$10&gt;=$H$1,0.5,IF($N$10=$C$1,0,1)))*(1+IF($N$10=$D$1,IF($Y$10*$AD$10&gt;=$K$1,0.4,IF($Y$10*$AD$10&gt;=$J$1,0.2,0)),0))*IF($N$10=$E$1,S42/$F$1,$B12*$D12*$E12^(S$2-1)),0.01),0)</f>
        <v>0</v>
      </c>
      <c r="T12" s="39">
        <f>IF(CEILING(IF($N$10=$E$1,$E42,$B12*$D12/3),1)&gt;=T$2,CEILING($F$1*IF($Y$10*$AD$10&gt;=$I$1,1,IF($Y$10*$AD$10&gt;=$H$1,0.5,IF($N$10=$C$1,0,1)))*(1+IF($N$10=$D$1,IF($Y$10*$AD$10&gt;=$K$1,0.4,IF($Y$10*$AD$10&gt;=$J$1,0.2,0)),0))*IF($N$10=$E$1,T42/$F$1,$B12*$D12*$E12^(T$2-1)),0.01),0)</f>
        <v>0</v>
      </c>
      <c r="U12" s="39">
        <f>IF(CEILING(IF($N$10=$E$1,$E42,$B12*$D12/3),1)&gt;=U$2,CEILING($F$1*IF($Y$10*$AD$10&gt;=$I$1,1,IF($Y$10*$AD$10&gt;=$H$1,0.5,IF($N$10=$C$1,0,1)))*(1+IF($N$10=$D$1,IF($Y$10*$AD$10&gt;=$K$1,0.4,IF($Y$10*$AD$10&gt;=$J$1,0.2,0)),0))*IF($N$10=$E$1,U42/$F$1,$B12*$D12*$E12^(U$2-1)),0.01),0)</f>
        <v>0</v>
      </c>
      <c r="V12" s="39">
        <f>IF(CEILING(IF($N$10=$E$1,$E42,$B12*$D12/3),1)&gt;=V$2,CEILING($F$1*IF($Y$10*$AD$10&gt;=$I$1,1,IF($Y$10*$AD$10&gt;=$H$1,0.5,IF($N$10=$C$1,0,1)))*(1+IF($N$10=$D$1,IF($Y$10*$AD$10&gt;=$K$1,0.4,IF($Y$10*$AD$10&gt;=$J$1,0.2,0)),0))*IF($N$10=$E$1,V42/$F$1,$B12*$D12*$E12^(V$2-1)),0.01),0)</f>
        <v>0</v>
      </c>
      <c r="W12" s="39">
        <f>IF(CEILING(IF($N$10=$E$1,$E42,$B12*$D12/3),1)&gt;=W$2,CEILING($F$1*IF($Y$10*$AD$10&gt;=$I$1,1,IF($Y$10*$AD$10&gt;=$H$1,0.5,IF($N$10=$C$1,0,1)))*(1+IF($N$10=$D$1,IF($Y$10*$AD$10&gt;=$K$1,0.4,IF($Y$10*$AD$10&gt;=$J$1,0.2,0)),0))*IF($N$10=$E$1,W42/$F$1,$B12*$D12*$E12^(W$2-1)),0.01),0)</f>
        <v>0</v>
      </c>
      <c r="X12" s="39">
        <f>IF(CEILING(IF($N$10=$E$1,$E42,$B12*$D12/3),1)&gt;=X$2,CEILING($F$1*IF($Y$10*$AD$10&gt;=$I$1,1,IF($Y$10*$AD$10&gt;=$H$1,0.5,IF($N$10=$C$1,0,1)))*(1+IF($N$10=$D$1,IF($Y$10*$AD$10&gt;=$K$1,0.4,IF($Y$10*$AD$10&gt;=$J$1,0.2,0)),0))*IF($N$10=$E$1,X42/$F$1,$B12*$D12*$E12^(X$2-1)),0.01),0)</f>
        <v>0</v>
      </c>
      <c r="Y12" s="39">
        <f>IF(CEILING(IF($N$10=$E$1,$E42,$B12*$D12/3),1)&gt;=Y$2,CEILING($F$1*IF($Y$10*$AD$10&gt;=$I$1,1,IF($Y$10*$AD$10&gt;=$H$1,0.5,IF($N$10=$C$1,0,1)))*(1+IF($N$10=$D$1,IF($Y$10*$AD$10&gt;=$K$1,0.4,IF($Y$10*$AD$10&gt;=$J$1,0.2,0)),0))*IF($N$10=$E$1,Y42/$F$1,$B12*$D12*$E12^(Y$2-1)),0.01),0)</f>
        <v>0</v>
      </c>
      <c r="Z12" s="39">
        <f>IF(CEILING(IF($N$10=$E$1,$E42,$B12*$D12/3),1)&gt;=Z$2,CEILING($F$1*IF($Y$10*$AD$10&gt;=$I$1,1,IF($Y$10*$AD$10&gt;=$H$1,0.5,IF($N$10=$C$1,0,1)))*(1+IF($N$10=$D$1,IF($Y$10*$AD$10&gt;=$K$1,0.4,IF($Y$10*$AD$10&gt;=$J$1,0.2,0)),0))*IF($N$10=$E$1,Z42/$F$1,$B12*$D12*$E12^(Z$2-1)),0.01),0)</f>
        <v>0</v>
      </c>
      <c r="AA12" s="39">
        <f>IF(CEILING(IF($N$10=$E$1,$E42,$B12*$D12/3),1)&gt;=AA$2,CEILING($F$1*IF($Y$10*$AD$10&gt;=$I$1,1,IF($Y$10*$AD$10&gt;=$H$1,0.5,IF($N$10=$C$1,0,1)))*(1+IF($N$10=$D$1,IF($Y$10*$AD$10&gt;=$K$1,0.4,IF($Y$10*$AD$10&gt;=$J$1,0.2,0)),0))*IF($N$10=$E$1,AA42/$F$1,$B12*$D12*$E12^(AA$2-1)),0.01),0)</f>
        <v>0</v>
      </c>
      <c r="AB12" s="39">
        <f>IF(CEILING(IF($N$10=$E$1,$E42,$B12*$D12/3),1)&gt;=AB$2,CEILING($F$1*IF($Y$10*$AD$10&gt;=$I$1,1,IF($Y$10*$AD$10&gt;=$H$1,0.5,IF($N$10=$C$1,0,1)))*(1+IF($N$10=$D$1,IF($Y$10*$AD$10&gt;=$K$1,0.4,IF($Y$10*$AD$10&gt;=$J$1,0.2,0)),0))*IF($N$10=$E$1,AB42/$F$1,$B12*$D12*$E12^(AB$2-1)),0.01),0)</f>
        <v>0</v>
      </c>
      <c r="AC12" s="39">
        <f>IF(CEILING(IF($N$10=$E$1,$E42,$B12*$D12/3),1)&gt;=AC$2,CEILING($F$1*IF($Y$10*$AD$10&gt;=$I$1,1,IF($Y$10*$AD$10&gt;=$H$1,0.5,IF($N$10=$C$1,0,1)))*(1+IF($N$10=$D$1,IF($Y$10*$AD$10&gt;=$K$1,0.4,IF($Y$10*$AD$10&gt;=$J$1,0.2,0)),0))*IF($N$10=$E$1,AC42/$F$1,$B12*$D12*$E12^(AC$2-1)),0.01),0)</f>
        <v>0</v>
      </c>
      <c r="AD12" s="39">
        <f>IF(CEILING(IF($N$10=$E$1,$E42,$B12*$D12/3),1)&gt;=AD$2,CEILING($F$1*IF($Y$10*$AD$10&gt;=$I$1,1,IF($Y$10*$AD$10&gt;=$H$1,0.5,IF($N$10=$C$1,0,1)))*(1+IF($N$10=$D$1,IF($Y$10*$AD$10&gt;=$K$1,0.4,IF($Y$10*$AD$10&gt;=$J$1,0.2,0)),0))*IF($N$10=$E$1,AD42/$F$1,$B12*$D12*$E12^(AD$2-1)),0.01),0)</f>
        <v>0</v>
      </c>
      <c r="AE12" s="137">
        <f>IF($N$10=$E$1,"DM Mixedpar B-finale",0)</f>
        <v>0</v>
      </c>
      <c r="AF12" s="137"/>
      <c r="AG12" s="137"/>
      <c r="AH12" s="137"/>
      <c r="AI12" s="138"/>
    </row>
    <row r="13" spans="1:35" x14ac:dyDescent="0.25">
      <c r="A13" s="97">
        <v>3</v>
      </c>
      <c r="B13" s="60">
        <v>0.85</v>
      </c>
      <c r="C13" s="16">
        <v>0</v>
      </c>
      <c r="D13" s="67">
        <f>CEILING(1+MIN(Y$10,T$10-C13-1)+MAX((T$10-C13-1-Y$10)/$M$1,0),1)</f>
        <v>20</v>
      </c>
      <c r="E13" s="63">
        <f>MAX(($G$1/($F$1*D13))^(1/(ROUNDUP(D13/3,)-1)),2/3)</f>
        <v>0.66666666666666663</v>
      </c>
      <c r="F13" s="39">
        <f>IF(CEILING(IF($N$10=$E$1,$E43,$B13*$D13/3),1)&gt;=F$2,CEILING($F$1*IF($Y$10*$AD$10&gt;=$I$1,1,IF($Y$10*$AD$10&gt;=$H$1,0.5,IF($N$10=$C$1,0,1)))*(1+IF($N$10=$D$1,IF($Y$10*$AD$10&gt;=$K$1,0.4,IF($Y$10*$AD$10&gt;=$J$1,0.2,0)),0))*IF($N$10=$E$1,F43/$F$1,$B13*$D13*$E13^(F$2-1)),0.01),0)</f>
        <v>1.7</v>
      </c>
      <c r="G13" s="39">
        <f>IF(CEILING(IF($N$10=$E$1,$E43,$B13*$D13/3),1)&gt;=G$2,CEILING($F$1*IF($Y$10*$AD$10&gt;=$I$1,1,IF($Y$10*$AD$10&gt;=$H$1,0.5,IF($N$10=$C$1,0,1)))*(1+IF($N$10=$D$1,IF($Y$10*$AD$10&gt;=$K$1,0.4,IF($Y$10*$AD$10&gt;=$J$1,0.2,0)),0))*IF($N$10=$E$1,G43/$F$1,$B13*$D13*$E13^(G$2-1)),0.01),0)</f>
        <v>1.1400000000000001</v>
      </c>
      <c r="H13" s="39">
        <f>IF(CEILING(IF($N$10=$E$1,$E43,$B13*$D13/3),1)&gt;=H$2,CEILING($F$1*IF($Y$10*$AD$10&gt;=$I$1,1,IF($Y$10*$AD$10&gt;=$H$1,0.5,IF($N$10=$C$1,0,1)))*(1+IF($N$10=$D$1,IF($Y$10*$AD$10&gt;=$K$1,0.4,IF($Y$10*$AD$10&gt;=$J$1,0.2,0)),0))*IF($N$10=$E$1,H43/$F$1,$B13*$D13*$E13^(H$2-1)),0.01),0)</f>
        <v>0.76</v>
      </c>
      <c r="I13" s="39">
        <f>IF(CEILING(IF($N$10=$E$1,$E43,$B13*$D13/3),1)&gt;=I$2,CEILING($F$1*IF($Y$10*$AD$10&gt;=$I$1,1,IF($Y$10*$AD$10&gt;=$H$1,0.5,IF($N$10=$C$1,0,1)))*(1+IF($N$10=$D$1,IF($Y$10*$AD$10&gt;=$K$1,0.4,IF($Y$10*$AD$10&gt;=$J$1,0.2,0)),0))*IF($N$10=$E$1,I43/$F$1,$B13*$D13*$E13^(I$2-1)),0.01),0)</f>
        <v>0.51</v>
      </c>
      <c r="J13" s="39">
        <f>IF(CEILING(IF($N$10=$E$1,$E43,$B13*$D13/3),1)&gt;=J$2,CEILING($F$1*IF($Y$10*$AD$10&gt;=$I$1,1,IF($Y$10*$AD$10&gt;=$H$1,0.5,IF($N$10=$C$1,0,1)))*(1+IF($N$10=$D$1,IF($Y$10*$AD$10&gt;=$K$1,0.4,IF($Y$10*$AD$10&gt;=$J$1,0.2,0)),0))*IF($N$10=$E$1,J43/$F$1,$B13*$D13*$E13^(J$2-1)),0.01),0)</f>
        <v>0.34</v>
      </c>
      <c r="K13" s="39">
        <f>IF(CEILING(IF($N$10=$E$1,$E43,$B13*$D13/3),1)&gt;=K$2,CEILING($F$1*IF($Y$10*$AD$10&gt;=$I$1,1,IF($Y$10*$AD$10&gt;=$H$1,0.5,IF($N$10=$C$1,0,1)))*(1+IF($N$10=$D$1,IF($Y$10*$AD$10&gt;=$K$1,0.4,IF($Y$10*$AD$10&gt;=$J$1,0.2,0)),0))*IF($N$10=$E$1,K43/$F$1,$B13*$D13*$E13^(K$2-1)),0.01),0)</f>
        <v>0.23</v>
      </c>
      <c r="L13" s="39">
        <f>IF(CEILING(IF($N$10=$E$1,$E43,$B13*$D13/3),1)&gt;=L$2,CEILING($F$1*IF($Y$10*$AD$10&gt;=$I$1,1,IF($Y$10*$AD$10&gt;=$H$1,0.5,IF($N$10=$C$1,0,1)))*(1+IF($N$10=$D$1,IF($Y$10*$AD$10&gt;=$K$1,0.4,IF($Y$10*$AD$10&gt;=$J$1,0.2,0)),0))*IF($N$10=$E$1,L43/$F$1,$B13*$D13*$E13^(L$2-1)),0.01),0)</f>
        <v>0</v>
      </c>
      <c r="M13" s="39">
        <f>IF(CEILING(IF($N$10=$E$1,$E43,$B13*$D13/3),1)&gt;=M$2,CEILING($F$1*IF($Y$10*$AD$10&gt;=$I$1,1,IF($Y$10*$AD$10&gt;=$H$1,0.5,IF($N$10=$C$1,0,1)))*(1+IF($N$10=$D$1,IF($Y$10*$AD$10&gt;=$K$1,0.4,IF($Y$10*$AD$10&gt;=$J$1,0.2,0)),0))*IF($N$10=$E$1,M43/$F$1,$B13*$D13*$E13^(M$2-1)),0.01),0)</f>
        <v>0</v>
      </c>
      <c r="N13" s="39">
        <f>IF(CEILING(IF($N$10=$E$1,$E43,$B13*$D13/3),1)&gt;=N$2,CEILING($F$1*IF($Y$10*$AD$10&gt;=$I$1,1,IF($Y$10*$AD$10&gt;=$H$1,0.5,IF($N$10=$C$1,0,1)))*(1+IF($N$10=$D$1,IF($Y$10*$AD$10&gt;=$K$1,0.4,IF($Y$10*$AD$10&gt;=$J$1,0.2,0)),0))*IF($N$10=$E$1,N43/$F$1,$B13*$D13*$E13^(N$2-1)),0.01),0)</f>
        <v>0</v>
      </c>
      <c r="O13" s="39">
        <f>IF(CEILING(IF($N$10=$E$1,$E43,$B13*$D13/3),1)&gt;=O$2,CEILING($F$1*IF($Y$10*$AD$10&gt;=$I$1,1,IF($Y$10*$AD$10&gt;=$H$1,0.5,IF($N$10=$C$1,0,1)))*(1+IF($N$10=$D$1,IF($Y$10*$AD$10&gt;=$K$1,0.4,IF($Y$10*$AD$10&gt;=$J$1,0.2,0)),0))*IF($N$10=$E$1,O43/$F$1,$B13*$D13*$E13^(O$2-1)),0.01),0)</f>
        <v>0</v>
      </c>
      <c r="P13" s="39">
        <f>IF(CEILING(IF($N$10=$E$1,$E43,$B13*$D13/3),1)&gt;=P$2,CEILING($F$1*IF($Y$10*$AD$10&gt;=$I$1,1,IF($Y$10*$AD$10&gt;=$H$1,0.5,IF($N$10=$C$1,0,1)))*(1+IF($N$10=$D$1,IF($Y$10*$AD$10&gt;=$K$1,0.4,IF($Y$10*$AD$10&gt;=$J$1,0.2,0)),0))*IF($N$10=$E$1,P43/$F$1,$B13*$D13*$E13^(P$2-1)),0.01),0)</f>
        <v>0</v>
      </c>
      <c r="Q13" s="39">
        <f>IF(CEILING(IF($N$10=$E$1,$E43,$B13*$D13/3),1)&gt;=Q$2,CEILING($F$1*IF($Y$10*$AD$10&gt;=$I$1,1,IF($Y$10*$AD$10&gt;=$H$1,0.5,IF($N$10=$C$1,0,1)))*(1+IF($N$10=$D$1,IF($Y$10*$AD$10&gt;=$K$1,0.4,IF($Y$10*$AD$10&gt;=$J$1,0.2,0)),0))*IF($N$10=$E$1,Q43/$F$1,$B13*$D13*$E13^(Q$2-1)),0.01),0)</f>
        <v>0</v>
      </c>
      <c r="R13" s="39">
        <f>IF(CEILING(IF($N$10=$E$1,$E43,$B13*$D13/3),1)&gt;=R$2,CEILING($F$1*IF($Y$10*$AD$10&gt;=$I$1,1,IF($Y$10*$AD$10&gt;=$H$1,0.5,IF($N$10=$C$1,0,1)))*(1+IF($N$10=$D$1,IF($Y$10*$AD$10&gt;=$K$1,0.4,IF($Y$10*$AD$10&gt;=$J$1,0.2,0)),0))*IF($N$10=$E$1,R43/$F$1,$B13*$D13*$E13^(R$2-1)),0.01),0)</f>
        <v>0</v>
      </c>
      <c r="S13" s="39">
        <f>IF(CEILING(IF($N$10=$E$1,$E43,$B13*$D13/3),1)&gt;=S$2,CEILING($F$1*IF($Y$10*$AD$10&gt;=$I$1,1,IF($Y$10*$AD$10&gt;=$H$1,0.5,IF($N$10=$C$1,0,1)))*(1+IF($N$10=$D$1,IF($Y$10*$AD$10&gt;=$K$1,0.4,IF($Y$10*$AD$10&gt;=$J$1,0.2,0)),0))*IF($N$10=$E$1,S43/$F$1,$B13*$D13*$E13^(S$2-1)),0.01),0)</f>
        <v>0</v>
      </c>
      <c r="T13" s="39">
        <f>IF(CEILING(IF($N$10=$E$1,$E43,$B13*$D13/3),1)&gt;=T$2,CEILING($F$1*IF($Y$10*$AD$10&gt;=$I$1,1,IF($Y$10*$AD$10&gt;=$H$1,0.5,IF($N$10=$C$1,0,1)))*(1+IF($N$10=$D$1,IF($Y$10*$AD$10&gt;=$K$1,0.4,IF($Y$10*$AD$10&gt;=$J$1,0.2,0)),0))*IF($N$10=$E$1,T43/$F$1,$B13*$D13*$E13^(T$2-1)),0.01),0)</f>
        <v>0</v>
      </c>
      <c r="U13" s="39">
        <f>IF(CEILING(IF($N$10=$E$1,$E43,$B13*$D13/3),1)&gt;=U$2,CEILING($F$1*IF($Y$10*$AD$10&gt;=$I$1,1,IF($Y$10*$AD$10&gt;=$H$1,0.5,IF($N$10=$C$1,0,1)))*(1+IF($N$10=$D$1,IF($Y$10*$AD$10&gt;=$K$1,0.4,IF($Y$10*$AD$10&gt;=$J$1,0.2,0)),0))*IF($N$10=$E$1,U43/$F$1,$B13*$D13*$E13^(U$2-1)),0.01),0)</f>
        <v>0</v>
      </c>
      <c r="V13" s="39">
        <f>IF(CEILING(IF($N$10=$E$1,$E43,$B13*$D13/3),1)&gt;=V$2,CEILING($F$1*IF($Y$10*$AD$10&gt;=$I$1,1,IF($Y$10*$AD$10&gt;=$H$1,0.5,IF($N$10=$C$1,0,1)))*(1+IF($N$10=$D$1,IF($Y$10*$AD$10&gt;=$K$1,0.4,IF($Y$10*$AD$10&gt;=$J$1,0.2,0)),0))*IF($N$10=$E$1,V43/$F$1,$B13*$D13*$E13^(V$2-1)),0.01),0)</f>
        <v>0</v>
      </c>
      <c r="W13" s="39">
        <f>IF(CEILING(IF($N$10=$E$1,$E43,$B13*$D13/3),1)&gt;=W$2,CEILING($F$1*IF($Y$10*$AD$10&gt;=$I$1,1,IF($Y$10*$AD$10&gt;=$H$1,0.5,IF($N$10=$C$1,0,1)))*(1+IF($N$10=$D$1,IF($Y$10*$AD$10&gt;=$K$1,0.4,IF($Y$10*$AD$10&gt;=$J$1,0.2,0)),0))*IF($N$10=$E$1,W43/$F$1,$B13*$D13*$E13^(W$2-1)),0.01),0)</f>
        <v>0</v>
      </c>
      <c r="X13" s="39">
        <f>IF(CEILING(IF($N$10=$E$1,$E43,$B13*$D13/3),1)&gt;=X$2,CEILING($F$1*IF($Y$10*$AD$10&gt;=$I$1,1,IF($Y$10*$AD$10&gt;=$H$1,0.5,IF($N$10=$C$1,0,1)))*(1+IF($N$10=$D$1,IF($Y$10*$AD$10&gt;=$K$1,0.4,IF($Y$10*$AD$10&gt;=$J$1,0.2,0)),0))*IF($N$10=$E$1,X43/$F$1,$B13*$D13*$E13^(X$2-1)),0.01),0)</f>
        <v>0</v>
      </c>
      <c r="Y13" s="39">
        <f>IF(CEILING(IF($N$10=$E$1,$E43,$B13*$D13/3),1)&gt;=Y$2,CEILING($F$1*IF($Y$10*$AD$10&gt;=$I$1,1,IF($Y$10*$AD$10&gt;=$H$1,0.5,IF($N$10=$C$1,0,1)))*(1+IF($N$10=$D$1,IF($Y$10*$AD$10&gt;=$K$1,0.4,IF($Y$10*$AD$10&gt;=$J$1,0.2,0)),0))*IF($N$10=$E$1,Y43/$F$1,$B13*$D13*$E13^(Y$2-1)),0.01),0)</f>
        <v>0</v>
      </c>
      <c r="Z13" s="39">
        <f>IF(CEILING(IF($N$10=$E$1,$E43,$B13*$D13/3),1)&gt;=Z$2,CEILING($F$1*IF($Y$10*$AD$10&gt;=$I$1,1,IF($Y$10*$AD$10&gt;=$H$1,0.5,IF($N$10=$C$1,0,1)))*(1+IF($N$10=$D$1,IF($Y$10*$AD$10&gt;=$K$1,0.4,IF($Y$10*$AD$10&gt;=$J$1,0.2,0)),0))*IF($N$10=$E$1,Z43/$F$1,$B13*$D13*$E13^(Z$2-1)),0.01),0)</f>
        <v>0</v>
      </c>
      <c r="AA13" s="39">
        <f>IF(CEILING(IF($N$10=$E$1,$E43,$B13*$D13/3),1)&gt;=AA$2,CEILING($F$1*IF($Y$10*$AD$10&gt;=$I$1,1,IF($Y$10*$AD$10&gt;=$H$1,0.5,IF($N$10=$C$1,0,1)))*(1+IF($N$10=$D$1,IF($Y$10*$AD$10&gt;=$K$1,0.4,IF($Y$10*$AD$10&gt;=$J$1,0.2,0)),0))*IF($N$10=$E$1,AA43/$F$1,$B13*$D13*$E13^(AA$2-1)),0.01),0)</f>
        <v>0</v>
      </c>
      <c r="AB13" s="39">
        <f>IF(CEILING(IF($N$10=$E$1,$E43,$B13*$D13/3),1)&gt;=AB$2,CEILING($F$1*IF($Y$10*$AD$10&gt;=$I$1,1,IF($Y$10*$AD$10&gt;=$H$1,0.5,IF($N$10=$C$1,0,1)))*(1+IF($N$10=$D$1,IF($Y$10*$AD$10&gt;=$K$1,0.4,IF($Y$10*$AD$10&gt;=$J$1,0.2,0)),0))*IF($N$10=$E$1,AB43/$F$1,$B13*$D13*$E13^(AB$2-1)),0.01),0)</f>
        <v>0</v>
      </c>
      <c r="AC13" s="39">
        <f>IF(CEILING(IF($N$10=$E$1,$E43,$B13*$D13/3),1)&gt;=AC$2,CEILING($F$1*IF($Y$10*$AD$10&gt;=$I$1,1,IF($Y$10*$AD$10&gt;=$H$1,0.5,IF($N$10=$C$1,0,1)))*(1+IF($N$10=$D$1,IF($Y$10*$AD$10&gt;=$K$1,0.4,IF($Y$10*$AD$10&gt;=$J$1,0.2,0)),0))*IF($N$10=$E$1,AC43/$F$1,$B13*$D13*$E13^(AC$2-1)),0.01),0)</f>
        <v>0</v>
      </c>
      <c r="AD13" s="39">
        <f>IF(CEILING(IF($N$10=$E$1,$E43,$B13*$D13/3),1)&gt;=AD$2,CEILING($F$1*IF($Y$10*$AD$10&gt;=$I$1,1,IF($Y$10*$AD$10&gt;=$H$1,0.5,IF($N$10=$C$1,0,1)))*(1+IF($N$10=$D$1,IF($Y$10*$AD$10&gt;=$K$1,0.4,IF($Y$10*$AD$10&gt;=$J$1,0.2,0)),0))*IF($N$10=$E$1,AD43/$F$1,$B13*$D13*$E13^(AD$2-1)),0.01),0)</f>
        <v>0</v>
      </c>
      <c r="AE13" s="137">
        <f>IF($N$10=$E$1,"",0)</f>
        <v>0</v>
      </c>
      <c r="AF13" s="137"/>
      <c r="AG13" s="137"/>
      <c r="AH13" s="137"/>
      <c r="AI13" s="138"/>
    </row>
    <row r="14" spans="1:35" x14ac:dyDescent="0.25">
      <c r="A14" s="97"/>
      <c r="B14" s="60"/>
      <c r="C14" s="6"/>
      <c r="D14" s="68"/>
      <c r="E14" s="64"/>
      <c r="F14" s="41"/>
      <c r="G14" s="41"/>
      <c r="H14" s="41"/>
      <c r="I14" s="41"/>
      <c r="J14" s="42"/>
      <c r="K14" s="42"/>
      <c r="L14" s="42"/>
      <c r="M14" s="42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3"/>
    </row>
    <row r="15" spans="1:35" x14ac:dyDescent="0.25">
      <c r="A15" s="97"/>
      <c r="B15" s="60"/>
      <c r="C15" s="6"/>
      <c r="D15" s="68"/>
      <c r="E15" s="64"/>
      <c r="F15" s="134" t="s">
        <v>11</v>
      </c>
      <c r="G15" s="134"/>
      <c r="H15" s="134"/>
      <c r="I15" s="36">
        <v>4</v>
      </c>
      <c r="J15" s="135" t="s">
        <v>3</v>
      </c>
      <c r="K15" s="135"/>
      <c r="L15" s="135"/>
      <c r="M15" s="135"/>
      <c r="N15" s="130" t="s">
        <v>5</v>
      </c>
      <c r="O15" s="130"/>
      <c r="P15" s="132" t="s">
        <v>1</v>
      </c>
      <c r="Q15" s="132"/>
      <c r="R15" s="132"/>
      <c r="S15" s="132"/>
      <c r="T15" s="15">
        <v>20</v>
      </c>
      <c r="U15" s="132" t="s">
        <v>2</v>
      </c>
      <c r="V15" s="132"/>
      <c r="W15" s="132"/>
      <c r="X15" s="132"/>
      <c r="Y15" s="15">
        <v>19</v>
      </c>
      <c r="Z15" s="132" t="s">
        <v>4</v>
      </c>
      <c r="AA15" s="132"/>
      <c r="AB15" s="132"/>
      <c r="AC15" s="132"/>
      <c r="AD15" s="15">
        <v>3</v>
      </c>
      <c r="AE15" s="37"/>
      <c r="AF15" s="37"/>
      <c r="AG15" s="37"/>
      <c r="AH15" s="37"/>
      <c r="AI15" s="38"/>
    </row>
    <row r="16" spans="1:35" x14ac:dyDescent="0.25">
      <c r="A16" s="97">
        <v>1</v>
      </c>
      <c r="B16" s="60">
        <v>1.1499999999999999</v>
      </c>
      <c r="C16" s="16">
        <v>0</v>
      </c>
      <c r="D16" s="67">
        <f>CEILING(1+MIN(Y$15,T$15-C16-1)+MAX((T$15-C16-1-Y$15)/$M$1,0),1)</f>
        <v>20</v>
      </c>
      <c r="E16" s="63">
        <f>MAX(($G$1/($F$1*D16))^(1/(ROUNDUP(D16/3,)-1)),2/3)</f>
        <v>0.66666666666666663</v>
      </c>
      <c r="F16" s="39">
        <f>IF(CEILING(IF($N$15=$E$1,$E46,$B16*$D16/3),1)&gt;=F$2,CEILING($F$1*IF($Y$15*$AD$15&gt;=$I$1,1,IF($Y$15*$AD$15&gt;=$H$1,0.5,IF($N$15=$C$1,0,1)))*(1+IF($N$15=$D$1,IF($Y$15*$AD$15&gt;=$K$1,0.4,IF($Y$15*$AD$15&gt;=$J$1,0.2,0)),0))*IF($N$15=$E$1,F46/$F$1,$B16*$D16*$E16^(F$2-1)),0.01),0)</f>
        <v>2.3000000000000003</v>
      </c>
      <c r="G16" s="39">
        <f>IF(CEILING(IF($N$15=$E$1,$E46,$B16*$D16/3),1)&gt;=G$2,CEILING($F$1*IF($Y$15*$AD$15&gt;=$I$1,1,IF($Y$15*$AD$15&gt;=$H$1,0.5,IF($N$15=$C$1,0,1)))*(1+IF($N$15=$D$1,IF($Y$15*$AD$15&gt;=$K$1,0.4,IF($Y$15*$AD$15&gt;=$J$1,0.2,0)),0))*IF($N$15=$E$1,G46/$F$1,$B16*$D16*$E16^(G$2-1)),0.01),0)</f>
        <v>1.54</v>
      </c>
      <c r="H16" s="39">
        <f>IF(CEILING(IF($N$15=$E$1,$E46,$B16*$D16/3),1)&gt;=H$2,CEILING($F$1*IF($Y$15*$AD$15&gt;=$I$1,1,IF($Y$15*$AD$15&gt;=$H$1,0.5,IF($N$15=$C$1,0,1)))*(1+IF($N$15=$D$1,IF($Y$15*$AD$15&gt;=$K$1,0.4,IF($Y$15*$AD$15&gt;=$J$1,0.2,0)),0))*IF($N$15=$E$1,H46/$F$1,$B16*$D16*$E16^(H$2-1)),0.01),0)</f>
        <v>1.03</v>
      </c>
      <c r="I16" s="39">
        <f>IF(CEILING(IF($N$15=$E$1,$E46,$B16*$D16/3),1)&gt;=I$2,CEILING($F$1*IF($Y$15*$AD$15&gt;=$I$1,1,IF($Y$15*$AD$15&gt;=$H$1,0.5,IF($N$15=$C$1,0,1)))*(1+IF($N$15=$D$1,IF($Y$15*$AD$15&gt;=$K$1,0.4,IF($Y$15*$AD$15&gt;=$J$1,0.2,0)),0))*IF($N$15=$E$1,I46/$F$1,$B16*$D16*$E16^(I$2-1)),0.01),0)</f>
        <v>0.69000000000000006</v>
      </c>
      <c r="J16" s="39">
        <f>IF(CEILING(IF($N$15=$E$1,$E46,$B16*$D16/3),1)&gt;=J$2,CEILING($F$1*IF($Y$15*$AD$15&gt;=$I$1,1,IF($Y$15*$AD$15&gt;=$H$1,0.5,IF($N$15=$C$1,0,1)))*(1+IF($N$15=$D$1,IF($Y$15*$AD$15&gt;=$K$1,0.4,IF($Y$15*$AD$15&gt;=$J$1,0.2,0)),0))*IF($N$15=$E$1,J46/$F$1,$B16*$D16*$E16^(J$2-1)),0.01),0)</f>
        <v>0.46</v>
      </c>
      <c r="K16" s="39">
        <f>IF(CEILING(IF($N$15=$E$1,$E46,$B16*$D16/3),1)&gt;=K$2,CEILING($F$1*IF($Y$15*$AD$15&gt;=$I$1,1,IF($Y$15*$AD$15&gt;=$H$1,0.5,IF($N$15=$C$1,0,1)))*(1+IF($N$15=$D$1,IF($Y$15*$AD$15&gt;=$K$1,0.4,IF($Y$15*$AD$15&gt;=$J$1,0.2,0)),0))*IF($N$15=$E$1,K46/$F$1,$B16*$D16*$E16^(K$2-1)),0.01),0)</f>
        <v>0.31</v>
      </c>
      <c r="L16" s="39">
        <f>IF(CEILING(IF($N$15=$E$1,$E46,$B16*$D16/3),1)&gt;=L$2,CEILING($F$1*IF($Y$15*$AD$15&gt;=$I$1,1,IF($Y$15*$AD$15&gt;=$H$1,0.5,IF($N$15=$C$1,0,1)))*(1+IF($N$15=$D$1,IF($Y$15*$AD$15&gt;=$K$1,0.4,IF($Y$15*$AD$15&gt;=$J$1,0.2,0)),0))*IF($N$15=$E$1,L46/$F$1,$B16*$D16*$E16^(L$2-1)),0.01),0)</f>
        <v>0.21</v>
      </c>
      <c r="M16" s="39">
        <f>IF(CEILING(IF($N$15=$E$1,$E46,$B16*$D16/3),1)&gt;=M$2,CEILING($F$1*IF($Y$15*$AD$15&gt;=$I$1,1,IF($Y$15*$AD$15&gt;=$H$1,0.5,IF($N$15=$C$1,0,1)))*(1+IF($N$15=$D$1,IF($Y$15*$AD$15&gt;=$K$1,0.4,IF($Y$15*$AD$15&gt;=$J$1,0.2,0)),0))*IF($N$15=$E$1,M46/$F$1,$B16*$D16*$E16^(M$2-1)),0.01),0)</f>
        <v>0.14000000000000001</v>
      </c>
      <c r="N16" s="39">
        <f>IF(CEILING(IF($N$15=$E$1,$E46,$B16*$D16/3),1)&gt;=N$2,CEILING($F$1*IF($Y$15*$AD$15&gt;=$I$1,1,IF($Y$15*$AD$15&gt;=$H$1,0.5,IF($N$15=$C$1,0,1)))*(1+IF($N$15=$D$1,IF($Y$15*$AD$15&gt;=$K$1,0.4,IF($Y$15*$AD$15&gt;=$J$1,0.2,0)),0))*IF($N$15=$E$1,N46/$F$1,$B16*$D16*$E16^(N$2-1)),0.01),0)</f>
        <v>0</v>
      </c>
      <c r="O16" s="39">
        <f>IF(CEILING(IF($N$15=$E$1,$E46,$B16*$D16/3),1)&gt;=O$2,CEILING($F$1*IF($Y$15*$AD$15&gt;=$I$1,1,IF($Y$15*$AD$15&gt;=$H$1,0.5,IF($N$15=$C$1,0,1)))*(1+IF($N$15=$D$1,IF($Y$15*$AD$15&gt;=$K$1,0.4,IF($Y$15*$AD$15&gt;=$J$1,0.2,0)),0))*IF($N$15=$E$1,O46/$F$1,$B16*$D16*$E16^(O$2-1)),0.01),0)</f>
        <v>0</v>
      </c>
      <c r="P16" s="39">
        <f>IF(CEILING(IF($N$15=$E$1,$E46,$B16*$D16/3),1)&gt;=P$2,CEILING($F$1*IF($Y$15*$AD$15&gt;=$I$1,1,IF($Y$15*$AD$15&gt;=$H$1,0.5,IF($N$15=$C$1,0,1)))*(1+IF($N$15=$D$1,IF($Y$15*$AD$15&gt;=$K$1,0.4,IF($Y$15*$AD$15&gt;=$J$1,0.2,0)),0))*IF($N$15=$E$1,P46/$F$1,$B16*$D16*$E16^(P$2-1)),0.01),0)</f>
        <v>0</v>
      </c>
      <c r="Q16" s="39">
        <f>IF(CEILING(IF($N$15=$E$1,$E46,$B16*$D16/3),1)&gt;=Q$2,CEILING($F$1*IF($Y$15*$AD$15&gt;=$I$1,1,IF($Y$15*$AD$15&gt;=$H$1,0.5,IF($N$15=$C$1,0,1)))*(1+IF($N$15=$D$1,IF($Y$15*$AD$15&gt;=$K$1,0.4,IF($Y$15*$AD$15&gt;=$J$1,0.2,0)),0))*IF($N$15=$E$1,Q46/$F$1,$B16*$D16*$E16^(Q$2-1)),0.01),0)</f>
        <v>0</v>
      </c>
      <c r="R16" s="39">
        <f>IF(CEILING(IF($N$15=$E$1,$E46,$B16*$D16/3),1)&gt;=R$2,CEILING($F$1*IF($Y$15*$AD$15&gt;=$I$1,1,IF($Y$15*$AD$15&gt;=$H$1,0.5,IF($N$15=$C$1,0,1)))*(1+IF($N$15=$D$1,IF($Y$15*$AD$15&gt;=$K$1,0.4,IF($Y$15*$AD$15&gt;=$J$1,0.2,0)),0))*IF($N$15=$E$1,R46/$F$1,$B16*$D16*$E16^(R$2-1)),0.01),0)</f>
        <v>0</v>
      </c>
      <c r="S16" s="39">
        <f>IF(CEILING(IF($N$15=$E$1,$E46,$B16*$D16/3),1)&gt;=S$2,CEILING($F$1*IF($Y$15*$AD$15&gt;=$I$1,1,IF($Y$15*$AD$15&gt;=$H$1,0.5,IF($N$15=$C$1,0,1)))*(1+IF($N$15=$D$1,IF($Y$15*$AD$15&gt;=$K$1,0.4,IF($Y$15*$AD$15&gt;=$J$1,0.2,0)),0))*IF($N$15=$E$1,S46/$F$1,$B16*$D16*$E16^(S$2-1)),0.01),0)</f>
        <v>0</v>
      </c>
      <c r="T16" s="39">
        <f>IF(CEILING(IF($N$15=$E$1,$E46,$B16*$D16/3),1)&gt;=T$2,CEILING($F$1*IF($Y$15*$AD$15&gt;=$I$1,1,IF($Y$15*$AD$15&gt;=$H$1,0.5,IF($N$15=$C$1,0,1)))*(1+IF($N$15=$D$1,IF($Y$15*$AD$15&gt;=$K$1,0.4,IF($Y$15*$AD$15&gt;=$J$1,0.2,0)),0))*IF($N$15=$E$1,T46/$F$1,$B16*$D16*$E16^(T$2-1)),0.01),0)</f>
        <v>0</v>
      </c>
      <c r="U16" s="39">
        <f>IF(CEILING(IF($N$15=$E$1,$E46,$B16*$D16/3),1)&gt;=U$2,CEILING($F$1*IF($Y$15*$AD$15&gt;=$I$1,1,IF($Y$15*$AD$15&gt;=$H$1,0.5,IF($N$15=$C$1,0,1)))*(1+IF($N$15=$D$1,IF($Y$15*$AD$15&gt;=$K$1,0.4,IF($Y$15*$AD$15&gt;=$J$1,0.2,0)),0))*IF($N$15=$E$1,U46/$F$1,$B16*$D16*$E16^(U$2-1)),0.01),0)</f>
        <v>0</v>
      </c>
      <c r="V16" s="39">
        <f>IF(CEILING(IF($N$15=$E$1,$E46,$B16*$D16/3),1)&gt;=V$2,CEILING($F$1*IF($Y$15*$AD$15&gt;=$I$1,1,IF($Y$15*$AD$15&gt;=$H$1,0.5,IF($N$15=$C$1,0,1)))*(1+IF($N$15=$D$1,IF($Y$15*$AD$15&gt;=$K$1,0.4,IF($Y$15*$AD$15&gt;=$J$1,0.2,0)),0))*IF($N$15=$E$1,V46/$F$1,$B16*$D16*$E16^(V$2-1)),0.01),0)</f>
        <v>0</v>
      </c>
      <c r="W16" s="39">
        <f>IF(CEILING(IF($N$15=$E$1,$E46,$B16*$D16/3),1)&gt;=W$2,CEILING($F$1*IF($Y$15*$AD$15&gt;=$I$1,1,IF($Y$15*$AD$15&gt;=$H$1,0.5,IF($N$15=$C$1,0,1)))*(1+IF($N$15=$D$1,IF($Y$15*$AD$15&gt;=$K$1,0.4,IF($Y$15*$AD$15&gt;=$J$1,0.2,0)),0))*IF($N$15=$E$1,W46/$F$1,$B16*$D16*$E16^(W$2-1)),0.01),0)</f>
        <v>0</v>
      </c>
      <c r="X16" s="39">
        <f>IF(CEILING(IF($N$15=$E$1,$E46,$B16*$D16/3),1)&gt;=X$2,CEILING($F$1*IF($Y$15*$AD$15&gt;=$I$1,1,IF($Y$15*$AD$15&gt;=$H$1,0.5,IF($N$15=$C$1,0,1)))*(1+IF($N$15=$D$1,IF($Y$15*$AD$15&gt;=$K$1,0.4,IF($Y$15*$AD$15&gt;=$J$1,0.2,0)),0))*IF($N$15=$E$1,X46/$F$1,$B16*$D16*$E16^(X$2-1)),0.01),0)</f>
        <v>0</v>
      </c>
      <c r="Y16" s="39">
        <f>IF(CEILING(IF($N$15=$E$1,$E46,$B16*$D16/3),1)&gt;=Y$2,CEILING($F$1*IF($Y$15*$AD$15&gt;=$I$1,1,IF($Y$15*$AD$15&gt;=$H$1,0.5,IF($N$15=$C$1,0,1)))*(1+IF($N$15=$D$1,IF($Y$15*$AD$15&gt;=$K$1,0.4,IF($Y$15*$AD$15&gt;=$J$1,0.2,0)),0))*IF($N$15=$E$1,Y46/$F$1,$B16*$D16*$E16^(Y$2-1)),0.01),0)</f>
        <v>0</v>
      </c>
      <c r="Z16" s="39">
        <f>IF(CEILING(IF($N$15=$E$1,$E46,$B16*$D16/3),1)&gt;=Z$2,CEILING($F$1*IF($Y$15*$AD$15&gt;=$I$1,1,IF($Y$15*$AD$15&gt;=$H$1,0.5,IF($N$15=$C$1,0,1)))*(1+IF($N$15=$D$1,IF($Y$15*$AD$15&gt;=$K$1,0.4,IF($Y$15*$AD$15&gt;=$J$1,0.2,0)),0))*IF($N$15=$E$1,Z46/$F$1,$B16*$D16*$E16^(Z$2-1)),0.01),0)</f>
        <v>0</v>
      </c>
      <c r="AA16" s="39">
        <f>IF(CEILING(IF($N$15=$E$1,$E46,$B16*$D16/3),1)&gt;=AA$2,CEILING($F$1*IF($Y$15*$AD$15&gt;=$I$1,1,IF($Y$15*$AD$15&gt;=$H$1,0.5,IF($N$15=$C$1,0,1)))*(1+IF($N$15=$D$1,IF($Y$15*$AD$15&gt;=$K$1,0.4,IF($Y$15*$AD$15&gt;=$J$1,0.2,0)),0))*IF($N$15=$E$1,AA46/$F$1,$B16*$D16*$E16^(AA$2-1)),0.01),0)</f>
        <v>0</v>
      </c>
      <c r="AB16" s="39">
        <f>IF(CEILING(IF($N$15=$E$1,$E46,$B16*$D16/3),1)&gt;=AB$2,CEILING($F$1*IF($Y$15*$AD$15&gt;=$I$1,1,IF($Y$15*$AD$15&gt;=$H$1,0.5,IF($N$15=$C$1,0,1)))*(1+IF($N$15=$D$1,IF($Y$15*$AD$15&gt;=$K$1,0.4,IF($Y$15*$AD$15&gt;=$J$1,0.2,0)),0))*IF($N$15=$E$1,AB46/$F$1,$B16*$D16*$E16^(AB$2-1)),0.01),0)</f>
        <v>0</v>
      </c>
      <c r="AC16" s="39">
        <f>IF(CEILING(IF($N$15=$E$1,$E46,$B16*$D16/3),1)&gt;=AC$2,CEILING($F$1*IF($Y$15*$AD$15&gt;=$I$1,1,IF($Y$15*$AD$15&gt;=$H$1,0.5,IF($N$15=$C$1,0,1)))*(1+IF($N$15=$D$1,IF($Y$15*$AD$15&gt;=$K$1,0.4,IF($Y$15*$AD$15&gt;=$J$1,0.2,0)),0))*IF($N$15=$E$1,AC46/$F$1,$B16*$D16*$E16^(AC$2-1)),0.01),0)</f>
        <v>0</v>
      </c>
      <c r="AD16" s="39">
        <f>IF(CEILING(IF($N$15=$E$1,$E46,$B16*$D16/3),1)&gt;=AD$2,CEILING($F$1*IF($Y$15*$AD$15&gt;=$I$1,1,IF($Y$15*$AD$15&gt;=$H$1,0.5,IF($N$15=$C$1,0,1)))*(1+IF($N$15=$D$1,IF($Y$15*$AD$15&gt;=$K$1,0.4,IF($Y$15*$AD$15&gt;=$J$1,0.2,0)),0))*IF($N$15=$E$1,AD46/$F$1,$B16*$D16*$E16^(AD$2-1)),0.01),0)</f>
        <v>0</v>
      </c>
      <c r="AE16" s="137">
        <f>IF($N$15=$E$1,"DM Åbent par A-finale",0)</f>
        <v>0</v>
      </c>
      <c r="AF16" s="137"/>
      <c r="AG16" s="137"/>
      <c r="AH16" s="137"/>
      <c r="AI16" s="138"/>
    </row>
    <row r="17" spans="1:35" x14ac:dyDescent="0.25">
      <c r="A17" s="97">
        <v>2</v>
      </c>
      <c r="B17" s="60">
        <v>1.05</v>
      </c>
      <c r="C17" s="16">
        <v>0</v>
      </c>
      <c r="D17" s="67">
        <f>CEILING(1+MIN(Y$15,T$15-C17-1)+MAX((T$15-C17-1-Y$15)/$M$1,0),1)</f>
        <v>20</v>
      </c>
      <c r="E17" s="63">
        <f>MAX(($G$1/($F$1*D17))^(1/(ROUNDUP(D17/3,)-1)),2/3)</f>
        <v>0.66666666666666663</v>
      </c>
      <c r="F17" s="39">
        <f>IF(CEILING(IF($N$15=$E$1,$E47,$B17*$D17/3),1)&gt;=F$2,CEILING($F$1*IF($Y$15*$AD$15&gt;=$I$1,1,IF($Y$15*$AD$15&gt;=$H$1,0.5,IF($N$15=$C$1,0,1)))*(1+IF($N$15=$D$1,IF($Y$15*$AD$15&gt;=$K$1,0.4,IF($Y$15*$AD$15&gt;=$J$1,0.2,0)),0))*IF($N$15=$E$1,F47/$F$1,$B17*$D17*$E17^(F$2-1)),0.01),0)</f>
        <v>2.1</v>
      </c>
      <c r="G17" s="39">
        <f>IF(CEILING(IF($N$15=$E$1,$E47,$B17*$D17/3),1)&gt;=G$2,CEILING($F$1*IF($Y$15*$AD$15&gt;=$I$1,1,IF($Y$15*$AD$15&gt;=$H$1,0.5,IF($N$15=$C$1,0,1)))*(1+IF($N$15=$D$1,IF($Y$15*$AD$15&gt;=$K$1,0.4,IF($Y$15*$AD$15&gt;=$J$1,0.2,0)),0))*IF($N$15=$E$1,G47/$F$1,$B17*$D17*$E17^(G$2-1)),0.01),0)</f>
        <v>1.4000000000000001</v>
      </c>
      <c r="H17" s="39">
        <f>IF(CEILING(IF($N$15=$E$1,$E47,$B17*$D17/3),1)&gt;=H$2,CEILING($F$1*IF($Y$15*$AD$15&gt;=$I$1,1,IF($Y$15*$AD$15&gt;=$H$1,0.5,IF($N$15=$C$1,0,1)))*(1+IF($N$15=$D$1,IF($Y$15*$AD$15&gt;=$K$1,0.4,IF($Y$15*$AD$15&gt;=$J$1,0.2,0)),0))*IF($N$15=$E$1,H47/$F$1,$B17*$D17*$E17^(H$2-1)),0.01),0)</f>
        <v>0.94000000000000006</v>
      </c>
      <c r="I17" s="39">
        <f>IF(CEILING(IF($N$15=$E$1,$E47,$B17*$D17/3),1)&gt;=I$2,CEILING($F$1*IF($Y$15*$AD$15&gt;=$I$1,1,IF($Y$15*$AD$15&gt;=$H$1,0.5,IF($N$15=$C$1,0,1)))*(1+IF($N$15=$D$1,IF($Y$15*$AD$15&gt;=$K$1,0.4,IF($Y$15*$AD$15&gt;=$J$1,0.2,0)),0))*IF($N$15=$E$1,I47/$F$1,$B17*$D17*$E17^(I$2-1)),0.01),0)</f>
        <v>0.63</v>
      </c>
      <c r="J17" s="39">
        <f>IF(CEILING(IF($N$15=$E$1,$E47,$B17*$D17/3),1)&gt;=J$2,CEILING($F$1*IF($Y$15*$AD$15&gt;=$I$1,1,IF($Y$15*$AD$15&gt;=$H$1,0.5,IF($N$15=$C$1,0,1)))*(1+IF($N$15=$D$1,IF($Y$15*$AD$15&gt;=$K$1,0.4,IF($Y$15*$AD$15&gt;=$J$1,0.2,0)),0))*IF($N$15=$E$1,J47/$F$1,$B17*$D17*$E17^(J$2-1)),0.01),0)</f>
        <v>0.42</v>
      </c>
      <c r="K17" s="39">
        <f>IF(CEILING(IF($N$15=$E$1,$E47,$B17*$D17/3),1)&gt;=K$2,CEILING($F$1*IF($Y$15*$AD$15&gt;=$I$1,1,IF($Y$15*$AD$15&gt;=$H$1,0.5,IF($N$15=$C$1,0,1)))*(1+IF($N$15=$D$1,IF($Y$15*$AD$15&gt;=$K$1,0.4,IF($Y$15*$AD$15&gt;=$J$1,0.2,0)),0))*IF($N$15=$E$1,K47/$F$1,$B17*$D17*$E17^(K$2-1)),0.01),0)</f>
        <v>0.28000000000000003</v>
      </c>
      <c r="L17" s="39">
        <f>IF(CEILING(IF($N$15=$E$1,$E47,$B17*$D17/3),1)&gt;=L$2,CEILING($F$1*IF($Y$15*$AD$15&gt;=$I$1,1,IF($Y$15*$AD$15&gt;=$H$1,0.5,IF($N$15=$C$1,0,1)))*(1+IF($N$15=$D$1,IF($Y$15*$AD$15&gt;=$K$1,0.4,IF($Y$15*$AD$15&gt;=$J$1,0.2,0)),0))*IF($N$15=$E$1,L47/$F$1,$B17*$D17*$E17^(L$2-1)),0.01),0)</f>
        <v>0.19</v>
      </c>
      <c r="M17" s="39">
        <f>IF(CEILING(IF($N$15=$E$1,$E47,$B17*$D17/3),1)&gt;=M$2,CEILING($F$1*IF($Y$15*$AD$15&gt;=$I$1,1,IF($Y$15*$AD$15&gt;=$H$1,0.5,IF($N$15=$C$1,0,1)))*(1+IF($N$15=$D$1,IF($Y$15*$AD$15&gt;=$K$1,0.4,IF($Y$15*$AD$15&gt;=$J$1,0.2,0)),0))*IF($N$15=$E$1,M47/$F$1,$B17*$D17*$E17^(M$2-1)),0.01),0)</f>
        <v>0</v>
      </c>
      <c r="N17" s="39">
        <f>IF(CEILING(IF($N$15=$E$1,$E47,$B17*$D17/3),1)&gt;=N$2,CEILING($F$1*IF($Y$15*$AD$15&gt;=$I$1,1,IF($Y$15*$AD$15&gt;=$H$1,0.5,IF($N$15=$C$1,0,1)))*(1+IF($N$15=$D$1,IF($Y$15*$AD$15&gt;=$K$1,0.4,IF($Y$15*$AD$15&gt;=$J$1,0.2,0)),0))*IF($N$15=$E$1,N47/$F$1,$B17*$D17*$E17^(N$2-1)),0.01),0)</f>
        <v>0</v>
      </c>
      <c r="O17" s="39">
        <f>IF(CEILING(IF($N$15=$E$1,$E47,$B17*$D17/3),1)&gt;=O$2,CEILING($F$1*IF($Y$15*$AD$15&gt;=$I$1,1,IF($Y$15*$AD$15&gt;=$H$1,0.5,IF($N$15=$C$1,0,1)))*(1+IF($N$15=$D$1,IF($Y$15*$AD$15&gt;=$K$1,0.4,IF($Y$15*$AD$15&gt;=$J$1,0.2,0)),0))*IF($N$15=$E$1,O47/$F$1,$B17*$D17*$E17^(O$2-1)),0.01),0)</f>
        <v>0</v>
      </c>
      <c r="P17" s="39">
        <f>IF(CEILING(IF($N$15=$E$1,$E47,$B17*$D17/3),1)&gt;=P$2,CEILING($F$1*IF($Y$15*$AD$15&gt;=$I$1,1,IF($Y$15*$AD$15&gt;=$H$1,0.5,IF($N$15=$C$1,0,1)))*(1+IF($N$15=$D$1,IF($Y$15*$AD$15&gt;=$K$1,0.4,IF($Y$15*$AD$15&gt;=$J$1,0.2,0)),0))*IF($N$15=$E$1,P47/$F$1,$B17*$D17*$E17^(P$2-1)),0.01),0)</f>
        <v>0</v>
      </c>
      <c r="Q17" s="39">
        <f>IF(CEILING(IF($N$15=$E$1,$E47,$B17*$D17/3),1)&gt;=Q$2,CEILING($F$1*IF($Y$15*$AD$15&gt;=$I$1,1,IF($Y$15*$AD$15&gt;=$H$1,0.5,IF($N$15=$C$1,0,1)))*(1+IF($N$15=$D$1,IF($Y$15*$AD$15&gt;=$K$1,0.4,IF($Y$15*$AD$15&gt;=$J$1,0.2,0)),0))*IF($N$15=$E$1,Q47/$F$1,$B17*$D17*$E17^(Q$2-1)),0.01),0)</f>
        <v>0</v>
      </c>
      <c r="R17" s="39">
        <f>IF(CEILING(IF($N$15=$E$1,$E47,$B17*$D17/3),1)&gt;=R$2,CEILING($F$1*IF($Y$15*$AD$15&gt;=$I$1,1,IF($Y$15*$AD$15&gt;=$H$1,0.5,IF($N$15=$C$1,0,1)))*(1+IF($N$15=$D$1,IF($Y$15*$AD$15&gt;=$K$1,0.4,IF($Y$15*$AD$15&gt;=$J$1,0.2,0)),0))*IF($N$15=$E$1,R47/$F$1,$B17*$D17*$E17^(R$2-1)),0.01),0)</f>
        <v>0</v>
      </c>
      <c r="S17" s="39">
        <f>IF(CEILING(IF($N$15=$E$1,$E47,$B17*$D17/3),1)&gt;=S$2,CEILING($F$1*IF($Y$15*$AD$15&gt;=$I$1,1,IF($Y$15*$AD$15&gt;=$H$1,0.5,IF($N$15=$C$1,0,1)))*(1+IF($N$15=$D$1,IF($Y$15*$AD$15&gt;=$K$1,0.4,IF($Y$15*$AD$15&gt;=$J$1,0.2,0)),0))*IF($N$15=$E$1,S47/$F$1,$B17*$D17*$E17^(S$2-1)),0.01),0)</f>
        <v>0</v>
      </c>
      <c r="T17" s="39">
        <f>IF(CEILING(IF($N$15=$E$1,$E47,$B17*$D17/3),1)&gt;=T$2,CEILING($F$1*IF($Y$15*$AD$15&gt;=$I$1,1,IF($Y$15*$AD$15&gt;=$H$1,0.5,IF($N$15=$C$1,0,1)))*(1+IF($N$15=$D$1,IF($Y$15*$AD$15&gt;=$K$1,0.4,IF($Y$15*$AD$15&gt;=$J$1,0.2,0)),0))*IF($N$15=$E$1,T47/$F$1,$B17*$D17*$E17^(T$2-1)),0.01),0)</f>
        <v>0</v>
      </c>
      <c r="U17" s="39">
        <f>IF(CEILING(IF($N$15=$E$1,$E47,$B17*$D17/3),1)&gt;=U$2,CEILING($F$1*IF($Y$15*$AD$15&gt;=$I$1,1,IF($Y$15*$AD$15&gt;=$H$1,0.5,IF($N$15=$C$1,0,1)))*(1+IF($N$15=$D$1,IF($Y$15*$AD$15&gt;=$K$1,0.4,IF($Y$15*$AD$15&gt;=$J$1,0.2,0)),0))*IF($N$15=$E$1,U47/$F$1,$B17*$D17*$E17^(U$2-1)),0.01),0)</f>
        <v>0</v>
      </c>
      <c r="V17" s="39">
        <f>IF(CEILING(IF($N$15=$E$1,$E47,$B17*$D17/3),1)&gt;=V$2,CEILING($F$1*IF($Y$15*$AD$15&gt;=$I$1,1,IF($Y$15*$AD$15&gt;=$H$1,0.5,IF($N$15=$C$1,0,1)))*(1+IF($N$15=$D$1,IF($Y$15*$AD$15&gt;=$K$1,0.4,IF($Y$15*$AD$15&gt;=$J$1,0.2,0)),0))*IF($N$15=$E$1,V47/$F$1,$B17*$D17*$E17^(V$2-1)),0.01),0)</f>
        <v>0</v>
      </c>
      <c r="W17" s="39">
        <f>IF(CEILING(IF($N$15=$E$1,$E47,$B17*$D17/3),1)&gt;=W$2,CEILING($F$1*IF($Y$15*$AD$15&gt;=$I$1,1,IF($Y$15*$AD$15&gt;=$H$1,0.5,IF($N$15=$C$1,0,1)))*(1+IF($N$15=$D$1,IF($Y$15*$AD$15&gt;=$K$1,0.4,IF($Y$15*$AD$15&gt;=$J$1,0.2,0)),0))*IF($N$15=$E$1,W47/$F$1,$B17*$D17*$E17^(W$2-1)),0.01),0)</f>
        <v>0</v>
      </c>
      <c r="X17" s="39">
        <f>IF(CEILING(IF($N$15=$E$1,$E47,$B17*$D17/3),1)&gt;=X$2,CEILING($F$1*IF($Y$15*$AD$15&gt;=$I$1,1,IF($Y$15*$AD$15&gt;=$H$1,0.5,IF($N$15=$C$1,0,1)))*(1+IF($N$15=$D$1,IF($Y$15*$AD$15&gt;=$K$1,0.4,IF($Y$15*$AD$15&gt;=$J$1,0.2,0)),0))*IF($N$15=$E$1,X47/$F$1,$B17*$D17*$E17^(X$2-1)),0.01),0)</f>
        <v>0</v>
      </c>
      <c r="Y17" s="39">
        <f>IF(CEILING(IF($N$15=$E$1,$E47,$B17*$D17/3),1)&gt;=Y$2,CEILING($F$1*IF($Y$15*$AD$15&gt;=$I$1,1,IF($Y$15*$AD$15&gt;=$H$1,0.5,IF($N$15=$C$1,0,1)))*(1+IF($N$15=$D$1,IF($Y$15*$AD$15&gt;=$K$1,0.4,IF($Y$15*$AD$15&gt;=$J$1,0.2,0)),0))*IF($N$15=$E$1,Y47/$F$1,$B17*$D17*$E17^(Y$2-1)),0.01),0)</f>
        <v>0</v>
      </c>
      <c r="Z17" s="39">
        <f>IF(CEILING(IF($N$15=$E$1,$E47,$B17*$D17/3),1)&gt;=Z$2,CEILING($F$1*IF($Y$15*$AD$15&gt;=$I$1,1,IF($Y$15*$AD$15&gt;=$H$1,0.5,IF($N$15=$C$1,0,1)))*(1+IF($N$15=$D$1,IF($Y$15*$AD$15&gt;=$K$1,0.4,IF($Y$15*$AD$15&gt;=$J$1,0.2,0)),0))*IF($N$15=$E$1,Z47/$F$1,$B17*$D17*$E17^(Z$2-1)),0.01),0)</f>
        <v>0</v>
      </c>
      <c r="AA17" s="39">
        <f>IF(CEILING(IF($N$15=$E$1,$E47,$B17*$D17/3),1)&gt;=AA$2,CEILING($F$1*IF($Y$15*$AD$15&gt;=$I$1,1,IF($Y$15*$AD$15&gt;=$H$1,0.5,IF($N$15=$C$1,0,1)))*(1+IF($N$15=$D$1,IF($Y$15*$AD$15&gt;=$K$1,0.4,IF($Y$15*$AD$15&gt;=$J$1,0.2,0)),0))*IF($N$15=$E$1,AA47/$F$1,$B17*$D17*$E17^(AA$2-1)),0.01),0)</f>
        <v>0</v>
      </c>
      <c r="AB17" s="39">
        <f>IF(CEILING(IF($N$15=$E$1,$E47,$B17*$D17/3),1)&gt;=AB$2,CEILING($F$1*IF($Y$15*$AD$15&gt;=$I$1,1,IF($Y$15*$AD$15&gt;=$H$1,0.5,IF($N$15=$C$1,0,1)))*(1+IF($N$15=$D$1,IF($Y$15*$AD$15&gt;=$K$1,0.4,IF($Y$15*$AD$15&gt;=$J$1,0.2,0)),0))*IF($N$15=$E$1,AB47/$F$1,$B17*$D17*$E17^(AB$2-1)),0.01),0)</f>
        <v>0</v>
      </c>
      <c r="AC17" s="39">
        <f>IF(CEILING(IF($N$15=$E$1,$E47,$B17*$D17/3),1)&gt;=AC$2,CEILING($F$1*IF($Y$15*$AD$15&gt;=$I$1,1,IF($Y$15*$AD$15&gt;=$H$1,0.5,IF($N$15=$C$1,0,1)))*(1+IF($N$15=$D$1,IF($Y$15*$AD$15&gt;=$K$1,0.4,IF($Y$15*$AD$15&gt;=$J$1,0.2,0)),0))*IF($N$15=$E$1,AC47/$F$1,$B17*$D17*$E17^(AC$2-1)),0.01),0)</f>
        <v>0</v>
      </c>
      <c r="AD17" s="39">
        <f>IF(CEILING(IF($N$15=$E$1,$E47,$B17*$D17/3),1)&gt;=AD$2,CEILING($F$1*IF($Y$15*$AD$15&gt;=$I$1,1,IF($Y$15*$AD$15&gt;=$H$1,0.5,IF($N$15=$C$1,0,1)))*(1+IF($N$15=$D$1,IF($Y$15*$AD$15&gt;=$K$1,0.4,IF($Y$15*$AD$15&gt;=$J$1,0.2,0)),0))*IF($N$15=$E$1,AD47/$F$1,$B17*$D17*$E17^(AD$2-1)),0.01),0)</f>
        <v>0</v>
      </c>
      <c r="AE17" s="137">
        <f>IF($N$15=$E$1,"DM Åbent par B-finale",0)</f>
        <v>0</v>
      </c>
      <c r="AF17" s="137"/>
      <c r="AG17" s="137"/>
      <c r="AH17" s="137"/>
      <c r="AI17" s="138"/>
    </row>
    <row r="18" spans="1:35" x14ac:dyDescent="0.25">
      <c r="A18" s="97">
        <v>3</v>
      </c>
      <c r="B18" s="60">
        <v>0.95</v>
      </c>
      <c r="C18" s="16">
        <v>0</v>
      </c>
      <c r="D18" s="67">
        <f>CEILING(1+MIN(Y$15,T$15-C18-1)+MAX((T$15-C18-1-Y$15)/$M$1,0),1)</f>
        <v>20</v>
      </c>
      <c r="E18" s="63">
        <f>MAX(($G$1/($F$1*D18))^(1/(ROUNDUP(D18/3,)-1)),2/3)</f>
        <v>0.66666666666666663</v>
      </c>
      <c r="F18" s="39">
        <f>IF(CEILING(IF($N$15=$E$1,$E48,$B18*$D18/3),1)&gt;=F$2,CEILING($F$1*IF($Y$15*$AD$15&gt;=$I$1,1,IF($Y$15*$AD$15&gt;=$H$1,0.5,IF($N$15=$C$1,0,1)))*(1+IF($N$15=$D$1,IF($Y$15*$AD$15&gt;=$K$1,0.4,IF($Y$15*$AD$15&gt;=$J$1,0.2,0)),0))*IF($N$15=$E$1,F48/$F$1,$B18*$D18*$E18^(F$2-1)),0.01),0)</f>
        <v>1.9000000000000001</v>
      </c>
      <c r="G18" s="39">
        <f>IF(CEILING(IF($N$15=$E$1,$E48,$B18*$D18/3),1)&gt;=G$2,CEILING($F$1*IF($Y$15*$AD$15&gt;=$I$1,1,IF($Y$15*$AD$15&gt;=$H$1,0.5,IF($N$15=$C$1,0,1)))*(1+IF($N$15=$D$1,IF($Y$15*$AD$15&gt;=$K$1,0.4,IF($Y$15*$AD$15&gt;=$J$1,0.2,0)),0))*IF($N$15=$E$1,G48/$F$1,$B18*$D18*$E18^(G$2-1)),0.01),0)</f>
        <v>1.27</v>
      </c>
      <c r="H18" s="39">
        <f>IF(CEILING(IF($N$15=$E$1,$E48,$B18*$D18/3),1)&gt;=H$2,CEILING($F$1*IF($Y$15*$AD$15&gt;=$I$1,1,IF($Y$15*$AD$15&gt;=$H$1,0.5,IF($N$15=$C$1,0,1)))*(1+IF($N$15=$D$1,IF($Y$15*$AD$15&gt;=$K$1,0.4,IF($Y$15*$AD$15&gt;=$J$1,0.2,0)),0))*IF($N$15=$E$1,H48/$F$1,$B18*$D18*$E18^(H$2-1)),0.01),0)</f>
        <v>0.85</v>
      </c>
      <c r="I18" s="39">
        <f>IF(CEILING(IF($N$15=$E$1,$E48,$B18*$D18/3),1)&gt;=I$2,CEILING($F$1*IF($Y$15*$AD$15&gt;=$I$1,1,IF($Y$15*$AD$15&gt;=$H$1,0.5,IF($N$15=$C$1,0,1)))*(1+IF($N$15=$D$1,IF($Y$15*$AD$15&gt;=$K$1,0.4,IF($Y$15*$AD$15&gt;=$J$1,0.2,0)),0))*IF($N$15=$E$1,I48/$F$1,$B18*$D18*$E18^(I$2-1)),0.01),0)</f>
        <v>0.57000000000000006</v>
      </c>
      <c r="J18" s="39">
        <f>IF(CEILING(IF($N$15=$E$1,$E48,$B18*$D18/3),1)&gt;=J$2,CEILING($F$1*IF($Y$15*$AD$15&gt;=$I$1,1,IF($Y$15*$AD$15&gt;=$H$1,0.5,IF($N$15=$C$1,0,1)))*(1+IF($N$15=$D$1,IF($Y$15*$AD$15&gt;=$K$1,0.4,IF($Y$15*$AD$15&gt;=$J$1,0.2,0)),0))*IF($N$15=$E$1,J48/$F$1,$B18*$D18*$E18^(J$2-1)),0.01),0)</f>
        <v>0.38</v>
      </c>
      <c r="K18" s="39">
        <f>IF(CEILING(IF($N$15=$E$1,$E48,$B18*$D18/3),1)&gt;=K$2,CEILING($F$1*IF($Y$15*$AD$15&gt;=$I$1,1,IF($Y$15*$AD$15&gt;=$H$1,0.5,IF($N$15=$C$1,0,1)))*(1+IF($N$15=$D$1,IF($Y$15*$AD$15&gt;=$K$1,0.4,IF($Y$15*$AD$15&gt;=$J$1,0.2,0)),0))*IF($N$15=$E$1,K48/$F$1,$B18*$D18*$E18^(K$2-1)),0.01),0)</f>
        <v>0.26</v>
      </c>
      <c r="L18" s="39">
        <f>IF(CEILING(IF($N$15=$E$1,$E48,$B18*$D18/3),1)&gt;=L$2,CEILING($F$1*IF($Y$15*$AD$15&gt;=$I$1,1,IF($Y$15*$AD$15&gt;=$H$1,0.5,IF($N$15=$C$1,0,1)))*(1+IF($N$15=$D$1,IF($Y$15*$AD$15&gt;=$K$1,0.4,IF($Y$15*$AD$15&gt;=$J$1,0.2,0)),0))*IF($N$15=$E$1,L48/$F$1,$B18*$D18*$E18^(L$2-1)),0.01),0)</f>
        <v>0.17</v>
      </c>
      <c r="M18" s="39">
        <f>IF(CEILING(IF($N$15=$E$1,$E48,$B18*$D18/3),1)&gt;=M$2,CEILING($F$1*IF($Y$15*$AD$15&gt;=$I$1,1,IF($Y$15*$AD$15&gt;=$H$1,0.5,IF($N$15=$C$1,0,1)))*(1+IF($N$15=$D$1,IF($Y$15*$AD$15&gt;=$K$1,0.4,IF($Y$15*$AD$15&gt;=$J$1,0.2,0)),0))*IF($N$15=$E$1,M48/$F$1,$B18*$D18*$E18^(M$2-1)),0.01),0)</f>
        <v>0</v>
      </c>
      <c r="N18" s="39">
        <f>IF(CEILING(IF($N$15=$E$1,$E48,$B18*$D18/3),1)&gt;=N$2,CEILING($F$1*IF($Y$15*$AD$15&gt;=$I$1,1,IF($Y$15*$AD$15&gt;=$H$1,0.5,IF($N$15=$C$1,0,1)))*(1+IF($N$15=$D$1,IF($Y$15*$AD$15&gt;=$K$1,0.4,IF($Y$15*$AD$15&gt;=$J$1,0.2,0)),0))*IF($N$15=$E$1,N48/$F$1,$B18*$D18*$E18^(N$2-1)),0.01),0)</f>
        <v>0</v>
      </c>
      <c r="O18" s="39">
        <f>IF(CEILING(IF($N$15=$E$1,$E48,$B18*$D18/3),1)&gt;=O$2,CEILING($F$1*IF($Y$15*$AD$15&gt;=$I$1,1,IF($Y$15*$AD$15&gt;=$H$1,0.5,IF($N$15=$C$1,0,1)))*(1+IF($N$15=$D$1,IF($Y$15*$AD$15&gt;=$K$1,0.4,IF($Y$15*$AD$15&gt;=$J$1,0.2,0)),0))*IF($N$15=$E$1,O48/$F$1,$B18*$D18*$E18^(O$2-1)),0.01),0)</f>
        <v>0</v>
      </c>
      <c r="P18" s="39">
        <f>IF(CEILING(IF($N$15=$E$1,$E48,$B18*$D18/3),1)&gt;=P$2,CEILING($F$1*IF($Y$15*$AD$15&gt;=$I$1,1,IF($Y$15*$AD$15&gt;=$H$1,0.5,IF($N$15=$C$1,0,1)))*(1+IF($N$15=$D$1,IF($Y$15*$AD$15&gt;=$K$1,0.4,IF($Y$15*$AD$15&gt;=$J$1,0.2,0)),0))*IF($N$15=$E$1,P48/$F$1,$B18*$D18*$E18^(P$2-1)),0.01),0)</f>
        <v>0</v>
      </c>
      <c r="Q18" s="39">
        <f>IF(CEILING(IF($N$15=$E$1,$E48,$B18*$D18/3),1)&gt;=Q$2,CEILING($F$1*IF($Y$15*$AD$15&gt;=$I$1,1,IF($Y$15*$AD$15&gt;=$H$1,0.5,IF($N$15=$C$1,0,1)))*(1+IF($N$15=$D$1,IF($Y$15*$AD$15&gt;=$K$1,0.4,IF($Y$15*$AD$15&gt;=$J$1,0.2,0)),0))*IF($N$15=$E$1,Q48/$F$1,$B18*$D18*$E18^(Q$2-1)),0.01),0)</f>
        <v>0</v>
      </c>
      <c r="R18" s="39">
        <f>IF(CEILING(IF($N$15=$E$1,$E48,$B18*$D18/3),1)&gt;=R$2,CEILING($F$1*IF($Y$15*$AD$15&gt;=$I$1,1,IF($Y$15*$AD$15&gt;=$H$1,0.5,IF($N$15=$C$1,0,1)))*(1+IF($N$15=$D$1,IF($Y$15*$AD$15&gt;=$K$1,0.4,IF($Y$15*$AD$15&gt;=$J$1,0.2,0)),0))*IF($N$15=$E$1,R48/$F$1,$B18*$D18*$E18^(R$2-1)),0.01),0)</f>
        <v>0</v>
      </c>
      <c r="S18" s="39">
        <f>IF(CEILING(IF($N$15=$E$1,$E48,$B18*$D18/3),1)&gt;=S$2,CEILING($F$1*IF($Y$15*$AD$15&gt;=$I$1,1,IF($Y$15*$AD$15&gt;=$H$1,0.5,IF($N$15=$C$1,0,1)))*(1+IF($N$15=$D$1,IF($Y$15*$AD$15&gt;=$K$1,0.4,IF($Y$15*$AD$15&gt;=$J$1,0.2,0)),0))*IF($N$15=$E$1,S48/$F$1,$B18*$D18*$E18^(S$2-1)),0.01),0)</f>
        <v>0</v>
      </c>
      <c r="T18" s="39">
        <f>IF(CEILING(IF($N$15=$E$1,$E48,$B18*$D18/3),1)&gt;=T$2,CEILING($F$1*IF($Y$15*$AD$15&gt;=$I$1,1,IF($Y$15*$AD$15&gt;=$H$1,0.5,IF($N$15=$C$1,0,1)))*(1+IF($N$15=$D$1,IF($Y$15*$AD$15&gt;=$K$1,0.4,IF($Y$15*$AD$15&gt;=$J$1,0.2,0)),0))*IF($N$15=$E$1,T48/$F$1,$B18*$D18*$E18^(T$2-1)),0.01),0)</f>
        <v>0</v>
      </c>
      <c r="U18" s="39">
        <f>IF(CEILING(IF($N$15=$E$1,$E48,$B18*$D18/3),1)&gt;=U$2,CEILING($F$1*IF($Y$15*$AD$15&gt;=$I$1,1,IF($Y$15*$AD$15&gt;=$H$1,0.5,IF($N$15=$C$1,0,1)))*(1+IF($N$15=$D$1,IF($Y$15*$AD$15&gt;=$K$1,0.4,IF($Y$15*$AD$15&gt;=$J$1,0.2,0)),0))*IF($N$15=$E$1,U48/$F$1,$B18*$D18*$E18^(U$2-1)),0.01),0)</f>
        <v>0</v>
      </c>
      <c r="V18" s="39">
        <f>IF(CEILING(IF($N$15=$E$1,$E48,$B18*$D18/3),1)&gt;=V$2,CEILING($F$1*IF($Y$15*$AD$15&gt;=$I$1,1,IF($Y$15*$AD$15&gt;=$H$1,0.5,IF($N$15=$C$1,0,1)))*(1+IF($N$15=$D$1,IF($Y$15*$AD$15&gt;=$K$1,0.4,IF($Y$15*$AD$15&gt;=$J$1,0.2,0)),0))*IF($N$15=$E$1,V48/$F$1,$B18*$D18*$E18^(V$2-1)),0.01),0)</f>
        <v>0</v>
      </c>
      <c r="W18" s="39">
        <f>IF(CEILING(IF($N$15=$E$1,$E48,$B18*$D18/3),1)&gt;=W$2,CEILING($F$1*IF($Y$15*$AD$15&gt;=$I$1,1,IF($Y$15*$AD$15&gt;=$H$1,0.5,IF($N$15=$C$1,0,1)))*(1+IF($N$15=$D$1,IF($Y$15*$AD$15&gt;=$K$1,0.4,IF($Y$15*$AD$15&gt;=$J$1,0.2,0)),0))*IF($N$15=$E$1,W48/$F$1,$B18*$D18*$E18^(W$2-1)),0.01),0)</f>
        <v>0</v>
      </c>
      <c r="X18" s="39">
        <f>IF(CEILING(IF($N$15=$E$1,$E48,$B18*$D18/3),1)&gt;=X$2,CEILING($F$1*IF($Y$15*$AD$15&gt;=$I$1,1,IF($Y$15*$AD$15&gt;=$H$1,0.5,IF($N$15=$C$1,0,1)))*(1+IF($N$15=$D$1,IF($Y$15*$AD$15&gt;=$K$1,0.4,IF($Y$15*$AD$15&gt;=$J$1,0.2,0)),0))*IF($N$15=$E$1,X48/$F$1,$B18*$D18*$E18^(X$2-1)),0.01),0)</f>
        <v>0</v>
      </c>
      <c r="Y18" s="39">
        <f>IF(CEILING(IF($N$15=$E$1,$E48,$B18*$D18/3),1)&gt;=Y$2,CEILING($F$1*IF($Y$15*$AD$15&gt;=$I$1,1,IF($Y$15*$AD$15&gt;=$H$1,0.5,IF($N$15=$C$1,0,1)))*(1+IF($N$15=$D$1,IF($Y$15*$AD$15&gt;=$K$1,0.4,IF($Y$15*$AD$15&gt;=$J$1,0.2,0)),0))*IF($N$15=$E$1,Y48/$F$1,$B18*$D18*$E18^(Y$2-1)),0.01),0)</f>
        <v>0</v>
      </c>
      <c r="Z18" s="39">
        <f>IF(CEILING(IF($N$15=$E$1,$E48,$B18*$D18/3),1)&gt;=Z$2,CEILING($F$1*IF($Y$15*$AD$15&gt;=$I$1,1,IF($Y$15*$AD$15&gt;=$H$1,0.5,IF($N$15=$C$1,0,1)))*(1+IF($N$15=$D$1,IF($Y$15*$AD$15&gt;=$K$1,0.4,IF($Y$15*$AD$15&gt;=$J$1,0.2,0)),0))*IF($N$15=$E$1,Z48/$F$1,$B18*$D18*$E18^(Z$2-1)),0.01),0)</f>
        <v>0</v>
      </c>
      <c r="AA18" s="39">
        <f>IF(CEILING(IF($N$15=$E$1,$E48,$B18*$D18/3),1)&gt;=AA$2,CEILING($F$1*IF($Y$15*$AD$15&gt;=$I$1,1,IF($Y$15*$AD$15&gt;=$H$1,0.5,IF($N$15=$C$1,0,1)))*(1+IF($N$15=$D$1,IF($Y$15*$AD$15&gt;=$K$1,0.4,IF($Y$15*$AD$15&gt;=$J$1,0.2,0)),0))*IF($N$15=$E$1,AA48/$F$1,$B18*$D18*$E18^(AA$2-1)),0.01),0)</f>
        <v>0</v>
      </c>
      <c r="AB18" s="39">
        <f>IF(CEILING(IF($N$15=$E$1,$E48,$B18*$D18/3),1)&gt;=AB$2,CEILING($F$1*IF($Y$15*$AD$15&gt;=$I$1,1,IF($Y$15*$AD$15&gt;=$H$1,0.5,IF($N$15=$C$1,0,1)))*(1+IF($N$15=$D$1,IF($Y$15*$AD$15&gt;=$K$1,0.4,IF($Y$15*$AD$15&gt;=$J$1,0.2,0)),0))*IF($N$15=$E$1,AB48/$F$1,$B18*$D18*$E18^(AB$2-1)),0.01),0)</f>
        <v>0</v>
      </c>
      <c r="AC18" s="39">
        <f>IF(CEILING(IF($N$15=$E$1,$E48,$B18*$D18/3),1)&gt;=AC$2,CEILING($F$1*IF($Y$15*$AD$15&gt;=$I$1,1,IF($Y$15*$AD$15&gt;=$H$1,0.5,IF($N$15=$C$1,0,1)))*(1+IF($N$15=$D$1,IF($Y$15*$AD$15&gt;=$K$1,0.4,IF($Y$15*$AD$15&gt;=$J$1,0.2,0)),0))*IF($N$15=$E$1,AC48/$F$1,$B18*$D18*$E18^(AC$2-1)),0.01),0)</f>
        <v>0</v>
      </c>
      <c r="AD18" s="39">
        <f>IF(CEILING(IF($N$15=$E$1,$E48,$B18*$D18/3),1)&gt;=AD$2,CEILING($F$1*IF($Y$15*$AD$15&gt;=$I$1,1,IF($Y$15*$AD$15&gt;=$H$1,0.5,IF($N$15=$C$1,0,1)))*(1+IF($N$15=$D$1,IF($Y$15*$AD$15&gt;=$K$1,0.4,IF($Y$15*$AD$15&gt;=$J$1,0.2,0)),0))*IF($N$15=$E$1,AD48/$F$1,$B18*$D18*$E18^(AD$2-1)),0.01),0)</f>
        <v>0</v>
      </c>
      <c r="AE18" s="137">
        <f>IF($N$15=$E$1,"",0)</f>
        <v>0</v>
      </c>
      <c r="AF18" s="137"/>
      <c r="AG18" s="137"/>
      <c r="AH18" s="137"/>
      <c r="AI18" s="138"/>
    </row>
    <row r="19" spans="1:35" x14ac:dyDescent="0.25">
      <c r="A19" s="97">
        <v>4</v>
      </c>
      <c r="B19" s="60">
        <v>0.85</v>
      </c>
      <c r="C19" s="16">
        <v>0</v>
      </c>
      <c r="D19" s="67">
        <f>CEILING(1+MIN(Y$15,T$15-C19-1)+MAX((T$15-C19-1-Y$15)/$M$1,0),1)</f>
        <v>20</v>
      </c>
      <c r="E19" s="63">
        <f>MAX(($G$1/($F$1*D19))^(1/(ROUNDUP(D19/3,)-1)),2/3)</f>
        <v>0.66666666666666663</v>
      </c>
      <c r="F19" s="39">
        <f>IF(CEILING(IF($N$15=$E$1,$E49,$B19*$D19/3),1)&gt;=F$2,CEILING($F$1*IF($Y$15*$AD$15&gt;=$I$1,1,IF($Y$15*$AD$15&gt;=$H$1,0.5,IF($N$15=$C$1,0,1)))*(1+IF($N$15=$D$1,IF($Y$15*$AD$15&gt;=$K$1,0.4,IF($Y$15*$AD$15&gt;=$J$1,0.2,0)),0))*IF($N$15=$E$1,F49/$F$1,$B19*$D19*$E19^(F$2-1)),0.01),0)</f>
        <v>1.7</v>
      </c>
      <c r="G19" s="39">
        <f>IF(CEILING(IF($N$15=$E$1,$E49,$B19*$D19/3),1)&gt;=G$2,CEILING($F$1*IF($Y$15*$AD$15&gt;=$I$1,1,IF($Y$15*$AD$15&gt;=$H$1,0.5,IF($N$15=$C$1,0,1)))*(1+IF($N$15=$D$1,IF($Y$15*$AD$15&gt;=$K$1,0.4,IF($Y$15*$AD$15&gt;=$J$1,0.2,0)),0))*IF($N$15=$E$1,G49/$F$1,$B19*$D19*$E19^(G$2-1)),0.01),0)</f>
        <v>1.1400000000000001</v>
      </c>
      <c r="H19" s="39">
        <f>IF(CEILING(IF($N$15=$E$1,$E49,$B19*$D19/3),1)&gt;=H$2,CEILING($F$1*IF($Y$15*$AD$15&gt;=$I$1,1,IF($Y$15*$AD$15&gt;=$H$1,0.5,IF($N$15=$C$1,0,1)))*(1+IF($N$15=$D$1,IF($Y$15*$AD$15&gt;=$K$1,0.4,IF($Y$15*$AD$15&gt;=$J$1,0.2,0)),0))*IF($N$15=$E$1,H49/$F$1,$B19*$D19*$E19^(H$2-1)),0.01),0)</f>
        <v>0.76</v>
      </c>
      <c r="I19" s="39">
        <f>IF(CEILING(IF($N$15=$E$1,$E49,$B19*$D19/3),1)&gt;=I$2,CEILING($F$1*IF($Y$15*$AD$15&gt;=$I$1,1,IF($Y$15*$AD$15&gt;=$H$1,0.5,IF($N$15=$C$1,0,1)))*(1+IF($N$15=$D$1,IF($Y$15*$AD$15&gt;=$K$1,0.4,IF($Y$15*$AD$15&gt;=$J$1,0.2,0)),0))*IF($N$15=$E$1,I49/$F$1,$B19*$D19*$E19^(I$2-1)),0.01),0)</f>
        <v>0.51</v>
      </c>
      <c r="J19" s="39">
        <f>IF(CEILING(IF($N$15=$E$1,$E49,$B19*$D19/3),1)&gt;=J$2,CEILING($F$1*IF($Y$15*$AD$15&gt;=$I$1,1,IF($Y$15*$AD$15&gt;=$H$1,0.5,IF($N$15=$C$1,0,1)))*(1+IF($N$15=$D$1,IF($Y$15*$AD$15&gt;=$K$1,0.4,IF($Y$15*$AD$15&gt;=$J$1,0.2,0)),0))*IF($N$15=$E$1,J49/$F$1,$B19*$D19*$E19^(J$2-1)),0.01),0)</f>
        <v>0.34</v>
      </c>
      <c r="K19" s="39">
        <f>IF(CEILING(IF($N$15=$E$1,$E49,$B19*$D19/3),1)&gt;=K$2,CEILING($F$1*IF($Y$15*$AD$15&gt;=$I$1,1,IF($Y$15*$AD$15&gt;=$H$1,0.5,IF($N$15=$C$1,0,1)))*(1+IF($N$15=$D$1,IF($Y$15*$AD$15&gt;=$K$1,0.4,IF($Y$15*$AD$15&gt;=$J$1,0.2,0)),0))*IF($N$15=$E$1,K49/$F$1,$B19*$D19*$E19^(K$2-1)),0.01),0)</f>
        <v>0.23</v>
      </c>
      <c r="L19" s="39">
        <f>IF(CEILING(IF($N$15=$E$1,$E49,$B19*$D19/3),1)&gt;=L$2,CEILING($F$1*IF($Y$15*$AD$15&gt;=$I$1,1,IF($Y$15*$AD$15&gt;=$H$1,0.5,IF($N$15=$C$1,0,1)))*(1+IF($N$15=$D$1,IF($Y$15*$AD$15&gt;=$K$1,0.4,IF($Y$15*$AD$15&gt;=$J$1,0.2,0)),0))*IF($N$15=$E$1,L49/$F$1,$B19*$D19*$E19^(L$2-1)),0.01),0)</f>
        <v>0</v>
      </c>
      <c r="M19" s="39">
        <f>IF(CEILING(IF($N$15=$E$1,$E49,$B19*$D19/3),1)&gt;=M$2,CEILING($F$1*IF($Y$15*$AD$15&gt;=$I$1,1,IF($Y$15*$AD$15&gt;=$H$1,0.5,IF($N$15=$C$1,0,1)))*(1+IF($N$15=$D$1,IF($Y$15*$AD$15&gt;=$K$1,0.4,IF($Y$15*$AD$15&gt;=$J$1,0.2,0)),0))*IF($N$15=$E$1,M49/$F$1,$B19*$D19*$E19^(M$2-1)),0.01),0)</f>
        <v>0</v>
      </c>
      <c r="N19" s="39">
        <f>IF(CEILING(IF($N$15=$E$1,$E49,$B19*$D19/3),1)&gt;=N$2,CEILING($F$1*IF($Y$15*$AD$15&gt;=$I$1,1,IF($Y$15*$AD$15&gt;=$H$1,0.5,IF($N$15=$C$1,0,1)))*(1+IF($N$15=$D$1,IF($Y$15*$AD$15&gt;=$K$1,0.4,IF($Y$15*$AD$15&gt;=$J$1,0.2,0)),0))*IF($N$15=$E$1,N49/$F$1,$B19*$D19*$E19^(N$2-1)),0.01),0)</f>
        <v>0</v>
      </c>
      <c r="O19" s="39">
        <f>IF(CEILING(IF($N$15=$E$1,$E49,$B19*$D19/3),1)&gt;=O$2,CEILING($F$1*IF($Y$15*$AD$15&gt;=$I$1,1,IF($Y$15*$AD$15&gt;=$H$1,0.5,IF($N$15=$C$1,0,1)))*(1+IF($N$15=$D$1,IF($Y$15*$AD$15&gt;=$K$1,0.4,IF($Y$15*$AD$15&gt;=$J$1,0.2,0)),0))*IF($N$15=$E$1,O49/$F$1,$B19*$D19*$E19^(O$2-1)),0.01),0)</f>
        <v>0</v>
      </c>
      <c r="P19" s="39">
        <f>IF(CEILING(IF($N$15=$E$1,$E49,$B19*$D19/3),1)&gt;=P$2,CEILING($F$1*IF($Y$15*$AD$15&gt;=$I$1,1,IF($Y$15*$AD$15&gt;=$H$1,0.5,IF($N$15=$C$1,0,1)))*(1+IF($N$15=$D$1,IF($Y$15*$AD$15&gt;=$K$1,0.4,IF($Y$15*$AD$15&gt;=$J$1,0.2,0)),0))*IF($N$15=$E$1,P49/$F$1,$B19*$D19*$E19^(P$2-1)),0.01),0)</f>
        <v>0</v>
      </c>
      <c r="Q19" s="39">
        <f>IF(CEILING(IF($N$15=$E$1,$E49,$B19*$D19/3),1)&gt;=Q$2,CEILING($F$1*IF($Y$15*$AD$15&gt;=$I$1,1,IF($Y$15*$AD$15&gt;=$H$1,0.5,IF($N$15=$C$1,0,1)))*(1+IF($N$15=$D$1,IF($Y$15*$AD$15&gt;=$K$1,0.4,IF($Y$15*$AD$15&gt;=$J$1,0.2,0)),0))*IF($N$15=$E$1,Q49/$F$1,$B19*$D19*$E19^(Q$2-1)),0.01),0)</f>
        <v>0</v>
      </c>
      <c r="R19" s="39">
        <f>IF(CEILING(IF($N$15=$E$1,$E49,$B19*$D19/3),1)&gt;=R$2,CEILING($F$1*IF($Y$15*$AD$15&gt;=$I$1,1,IF($Y$15*$AD$15&gt;=$H$1,0.5,IF($N$15=$C$1,0,1)))*(1+IF($N$15=$D$1,IF($Y$15*$AD$15&gt;=$K$1,0.4,IF($Y$15*$AD$15&gt;=$J$1,0.2,0)),0))*IF($N$15=$E$1,R49/$F$1,$B19*$D19*$E19^(R$2-1)),0.01),0)</f>
        <v>0</v>
      </c>
      <c r="S19" s="39">
        <f>IF(CEILING(IF($N$15=$E$1,$E49,$B19*$D19/3),1)&gt;=S$2,CEILING($F$1*IF($Y$15*$AD$15&gt;=$I$1,1,IF($Y$15*$AD$15&gt;=$H$1,0.5,IF($N$15=$C$1,0,1)))*(1+IF($N$15=$D$1,IF($Y$15*$AD$15&gt;=$K$1,0.4,IF($Y$15*$AD$15&gt;=$J$1,0.2,0)),0))*IF($N$15=$E$1,S49/$F$1,$B19*$D19*$E19^(S$2-1)),0.01),0)</f>
        <v>0</v>
      </c>
      <c r="T19" s="39">
        <f>IF(CEILING(IF($N$15=$E$1,$E49,$B19*$D19/3),1)&gt;=T$2,CEILING($F$1*IF($Y$15*$AD$15&gt;=$I$1,1,IF($Y$15*$AD$15&gt;=$H$1,0.5,IF($N$15=$C$1,0,1)))*(1+IF($N$15=$D$1,IF($Y$15*$AD$15&gt;=$K$1,0.4,IF($Y$15*$AD$15&gt;=$J$1,0.2,0)),0))*IF($N$15=$E$1,T49/$F$1,$B19*$D19*$E19^(T$2-1)),0.01),0)</f>
        <v>0</v>
      </c>
      <c r="U19" s="39">
        <f>IF(CEILING(IF($N$15=$E$1,$E49,$B19*$D19/3),1)&gt;=U$2,CEILING($F$1*IF($Y$15*$AD$15&gt;=$I$1,1,IF($Y$15*$AD$15&gt;=$H$1,0.5,IF($N$15=$C$1,0,1)))*(1+IF($N$15=$D$1,IF($Y$15*$AD$15&gt;=$K$1,0.4,IF($Y$15*$AD$15&gt;=$J$1,0.2,0)),0))*IF($N$15=$E$1,U49/$F$1,$B19*$D19*$E19^(U$2-1)),0.01),0)</f>
        <v>0</v>
      </c>
      <c r="V19" s="39">
        <f>IF(CEILING(IF($N$15=$E$1,$E49,$B19*$D19/3),1)&gt;=V$2,CEILING($F$1*IF($Y$15*$AD$15&gt;=$I$1,1,IF($Y$15*$AD$15&gt;=$H$1,0.5,IF($N$15=$C$1,0,1)))*(1+IF($N$15=$D$1,IF($Y$15*$AD$15&gt;=$K$1,0.4,IF($Y$15*$AD$15&gt;=$J$1,0.2,0)),0))*IF($N$15=$E$1,V49/$F$1,$B19*$D19*$E19^(V$2-1)),0.01),0)</f>
        <v>0</v>
      </c>
      <c r="W19" s="39">
        <f>IF(CEILING(IF($N$15=$E$1,$E49,$B19*$D19/3),1)&gt;=W$2,CEILING($F$1*IF($Y$15*$AD$15&gt;=$I$1,1,IF($Y$15*$AD$15&gt;=$H$1,0.5,IF($N$15=$C$1,0,1)))*(1+IF($N$15=$D$1,IF($Y$15*$AD$15&gt;=$K$1,0.4,IF($Y$15*$AD$15&gt;=$J$1,0.2,0)),0))*IF($N$15=$E$1,W49/$F$1,$B19*$D19*$E19^(W$2-1)),0.01),0)</f>
        <v>0</v>
      </c>
      <c r="X19" s="39">
        <f>IF(CEILING(IF($N$15=$E$1,$E49,$B19*$D19/3),1)&gt;=X$2,CEILING($F$1*IF($Y$15*$AD$15&gt;=$I$1,1,IF($Y$15*$AD$15&gt;=$H$1,0.5,IF($N$15=$C$1,0,1)))*(1+IF($N$15=$D$1,IF($Y$15*$AD$15&gt;=$K$1,0.4,IF($Y$15*$AD$15&gt;=$J$1,0.2,0)),0))*IF($N$15=$E$1,X49/$F$1,$B19*$D19*$E19^(X$2-1)),0.01),0)</f>
        <v>0</v>
      </c>
      <c r="Y19" s="39">
        <f>IF(CEILING(IF($N$15=$E$1,$E49,$B19*$D19/3),1)&gt;=Y$2,CEILING($F$1*IF($Y$15*$AD$15&gt;=$I$1,1,IF($Y$15*$AD$15&gt;=$H$1,0.5,IF($N$15=$C$1,0,1)))*(1+IF($N$15=$D$1,IF($Y$15*$AD$15&gt;=$K$1,0.4,IF($Y$15*$AD$15&gt;=$J$1,0.2,0)),0))*IF($N$15=$E$1,Y49/$F$1,$B19*$D19*$E19^(Y$2-1)),0.01),0)</f>
        <v>0</v>
      </c>
      <c r="Z19" s="39">
        <f>IF(CEILING(IF($N$15=$E$1,$E49,$B19*$D19/3),1)&gt;=Z$2,CEILING($F$1*IF($Y$15*$AD$15&gt;=$I$1,1,IF($Y$15*$AD$15&gt;=$H$1,0.5,IF($N$15=$C$1,0,1)))*(1+IF($N$15=$D$1,IF($Y$15*$AD$15&gt;=$K$1,0.4,IF($Y$15*$AD$15&gt;=$J$1,0.2,0)),0))*IF($N$15=$E$1,Z49/$F$1,$B19*$D19*$E19^(Z$2-1)),0.01),0)</f>
        <v>0</v>
      </c>
      <c r="AA19" s="39">
        <f>IF(CEILING(IF($N$15=$E$1,$E49,$B19*$D19/3),1)&gt;=AA$2,CEILING($F$1*IF($Y$15*$AD$15&gt;=$I$1,1,IF($Y$15*$AD$15&gt;=$H$1,0.5,IF($N$15=$C$1,0,1)))*(1+IF($N$15=$D$1,IF($Y$15*$AD$15&gt;=$K$1,0.4,IF($Y$15*$AD$15&gt;=$J$1,0.2,0)),0))*IF($N$15=$E$1,AA49/$F$1,$B19*$D19*$E19^(AA$2-1)),0.01),0)</f>
        <v>0</v>
      </c>
      <c r="AB19" s="39">
        <f>IF(CEILING(IF($N$15=$E$1,$E49,$B19*$D19/3),1)&gt;=AB$2,CEILING($F$1*IF($Y$15*$AD$15&gt;=$I$1,1,IF($Y$15*$AD$15&gt;=$H$1,0.5,IF($N$15=$C$1,0,1)))*(1+IF($N$15=$D$1,IF($Y$15*$AD$15&gt;=$K$1,0.4,IF($Y$15*$AD$15&gt;=$J$1,0.2,0)),0))*IF($N$15=$E$1,AB49/$F$1,$B19*$D19*$E19^(AB$2-1)),0.01),0)</f>
        <v>0</v>
      </c>
      <c r="AC19" s="39">
        <f>IF(CEILING(IF($N$15=$E$1,$E49,$B19*$D19/3),1)&gt;=AC$2,CEILING($F$1*IF($Y$15*$AD$15&gt;=$I$1,1,IF($Y$15*$AD$15&gt;=$H$1,0.5,IF($N$15=$C$1,0,1)))*(1+IF($N$15=$D$1,IF($Y$15*$AD$15&gt;=$K$1,0.4,IF($Y$15*$AD$15&gt;=$J$1,0.2,0)),0))*IF($N$15=$E$1,AC49/$F$1,$B19*$D19*$E19^(AC$2-1)),0.01),0)</f>
        <v>0</v>
      </c>
      <c r="AD19" s="39">
        <f>IF(CEILING(IF($N$15=$E$1,$E49,$B19*$D19/3),1)&gt;=AD$2,CEILING($F$1*IF($Y$15*$AD$15&gt;=$I$1,1,IF($Y$15*$AD$15&gt;=$H$1,0.5,IF($N$15=$C$1,0,1)))*(1+IF($N$15=$D$1,IF($Y$15*$AD$15&gt;=$K$1,0.4,IF($Y$15*$AD$15&gt;=$J$1,0.2,0)),0))*IF($N$15=$E$1,AD49/$F$1,$B19*$D19*$E19^(AD$2-1)),0.01),0)</f>
        <v>0</v>
      </c>
      <c r="AE19" s="137">
        <f>IF($N$15=$E$1,"",0)</f>
        <v>0</v>
      </c>
      <c r="AF19" s="137"/>
      <c r="AG19" s="137"/>
      <c r="AH19" s="137"/>
      <c r="AI19" s="138"/>
    </row>
    <row r="20" spans="1:35" x14ac:dyDescent="0.25">
      <c r="A20" s="97"/>
      <c r="B20" s="60"/>
      <c r="C20" s="6"/>
      <c r="D20" s="68"/>
      <c r="E20" s="64"/>
      <c r="F20" s="41"/>
      <c r="G20" s="41"/>
      <c r="H20" s="41"/>
      <c r="I20" s="41"/>
      <c r="J20" s="42"/>
      <c r="K20" s="42"/>
      <c r="L20" s="42"/>
      <c r="M20" s="42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3"/>
    </row>
    <row r="21" spans="1:35" x14ac:dyDescent="0.25">
      <c r="A21" s="97"/>
      <c r="B21" s="60"/>
      <c r="C21" s="6"/>
      <c r="D21" s="68"/>
      <c r="E21" s="64"/>
      <c r="F21" s="134" t="s">
        <v>11</v>
      </c>
      <c r="G21" s="134"/>
      <c r="H21" s="134"/>
      <c r="I21" s="36">
        <v>5</v>
      </c>
      <c r="J21" s="135" t="s">
        <v>3</v>
      </c>
      <c r="K21" s="135"/>
      <c r="L21" s="135"/>
      <c r="M21" s="135"/>
      <c r="N21" s="130" t="s">
        <v>5</v>
      </c>
      <c r="O21" s="130"/>
      <c r="P21" s="132" t="s">
        <v>1</v>
      </c>
      <c r="Q21" s="132"/>
      <c r="R21" s="132"/>
      <c r="S21" s="132"/>
      <c r="T21" s="15">
        <v>20</v>
      </c>
      <c r="U21" s="132" t="s">
        <v>2</v>
      </c>
      <c r="V21" s="132"/>
      <c r="W21" s="132"/>
      <c r="X21" s="132"/>
      <c r="Y21" s="15">
        <v>19</v>
      </c>
      <c r="Z21" s="132" t="s">
        <v>4</v>
      </c>
      <c r="AA21" s="132"/>
      <c r="AB21" s="132"/>
      <c r="AC21" s="132"/>
      <c r="AD21" s="15">
        <v>3</v>
      </c>
      <c r="AE21" s="37"/>
      <c r="AF21" s="37"/>
      <c r="AG21" s="37"/>
      <c r="AH21" s="37"/>
      <c r="AI21" s="38"/>
    </row>
    <row r="22" spans="1:35" x14ac:dyDescent="0.25">
      <c r="A22" s="97">
        <v>1</v>
      </c>
      <c r="B22" s="60">
        <v>1.2</v>
      </c>
      <c r="C22" s="16">
        <v>0</v>
      </c>
      <c r="D22" s="67">
        <f>CEILING(1+MIN(Y$21,T$21-C22-1)+MAX((T$21-C22-1-Y$21)/$M$1,0),1)</f>
        <v>20</v>
      </c>
      <c r="E22" s="63">
        <f>MAX(($G$1/($F$1*D22))^(1/(ROUNDUP(D22/3,)-1)),2/3)</f>
        <v>0.66666666666666663</v>
      </c>
      <c r="F22" s="39">
        <f>IF(CEILING(IF($N$21=$E$1,$E53,$B22*$D22/3),1)&gt;=F$2,CEILING($F$1*IF($Y$21*$AD$21&gt;=$I$1,1,IF($Y$21*$AD$21&gt;=$H$1,0.5,IF($N$21=$C$1,0,1)))*(1+IF($N$21=$D$1,IF($Y$21*$AD$21&gt;=$K$1,0.4,IF($Y$21*$AD$21&gt;=$J$1,0.2,0)),0))*IF($N$21=$E$1,F53/$F$1,$B22*$D22*$E22^(F$2-1)),0.01),0)</f>
        <v>2.4</v>
      </c>
      <c r="G22" s="39">
        <f>IF(CEILING(IF($N$21=$E$1,$E53,$B22*$D22/3),1)&gt;=G$2,CEILING($F$1*IF($Y$21*$AD$21&gt;=$I$1,1,IF($Y$21*$AD$21&gt;=$H$1,0.5,IF($N$21=$C$1,0,1)))*(1+IF($N$21=$D$1,IF($Y$21*$AD$21&gt;=$K$1,0.4,IF($Y$21*$AD$21&gt;=$J$1,0.2,0)),0))*IF($N$21=$E$1,G53/$F$1,$B22*$D22*$E22^(G$2-1)),0.01),0)</f>
        <v>1.6</v>
      </c>
      <c r="H22" s="39">
        <f>IF(CEILING(IF($N$21=$E$1,$E53,$B22*$D22/3),1)&gt;=H$2,CEILING($F$1*IF($Y$21*$AD$21&gt;=$I$1,1,IF($Y$21*$AD$21&gt;=$H$1,0.5,IF($N$21=$C$1,0,1)))*(1+IF($N$21=$D$1,IF($Y$21*$AD$21&gt;=$K$1,0.4,IF($Y$21*$AD$21&gt;=$J$1,0.2,0)),0))*IF($N$21=$E$1,H53/$F$1,$B22*$D22*$E22^(H$2-1)),0.01),0)</f>
        <v>1.07</v>
      </c>
      <c r="I22" s="39">
        <f>IF(CEILING(IF($N$21=$E$1,$E53,$B22*$D22/3),1)&gt;=I$2,CEILING($F$1*IF($Y$21*$AD$21&gt;=$I$1,1,IF($Y$21*$AD$21&gt;=$H$1,0.5,IF($N$21=$C$1,0,1)))*(1+IF($N$21=$D$1,IF($Y$21*$AD$21&gt;=$K$1,0.4,IF($Y$21*$AD$21&gt;=$J$1,0.2,0)),0))*IF($N$21=$E$1,I53/$F$1,$B22*$D22*$E22^(I$2-1)),0.01),0)</f>
        <v>0.72</v>
      </c>
      <c r="J22" s="39">
        <f>IF(CEILING(IF($N$21=$E$1,$E53,$B22*$D22/3),1)&gt;=J$2,CEILING($F$1*IF($Y$21*$AD$21&gt;=$I$1,1,IF($Y$21*$AD$21&gt;=$H$1,0.5,IF($N$21=$C$1,0,1)))*(1+IF($N$21=$D$1,IF($Y$21*$AD$21&gt;=$K$1,0.4,IF($Y$21*$AD$21&gt;=$J$1,0.2,0)),0))*IF($N$21=$E$1,J53/$F$1,$B22*$D22*$E22^(J$2-1)),0.01),0)</f>
        <v>0.48</v>
      </c>
      <c r="K22" s="39">
        <f>IF(CEILING(IF($N$21=$E$1,$E53,$B22*$D22/3),1)&gt;=K$2,CEILING($F$1*IF($Y$21*$AD$21&gt;=$I$1,1,IF($Y$21*$AD$21&gt;=$H$1,0.5,IF($N$21=$C$1,0,1)))*(1+IF($N$21=$D$1,IF($Y$21*$AD$21&gt;=$K$1,0.4,IF($Y$21*$AD$21&gt;=$J$1,0.2,0)),0))*IF($N$21=$E$1,K53/$F$1,$B22*$D22*$E22^(K$2-1)),0.01),0)</f>
        <v>0.32</v>
      </c>
      <c r="L22" s="39">
        <f>IF(CEILING(IF($N$21=$E$1,$E53,$B22*$D22/3),1)&gt;=L$2,CEILING($F$1*IF($Y$21*$AD$21&gt;=$I$1,1,IF($Y$21*$AD$21&gt;=$H$1,0.5,IF($N$21=$C$1,0,1)))*(1+IF($N$21=$D$1,IF($Y$21*$AD$21&gt;=$K$1,0.4,IF($Y$21*$AD$21&gt;=$J$1,0.2,0)),0))*IF($N$21=$E$1,L53/$F$1,$B22*$D22*$E22^(L$2-1)),0.01),0)</f>
        <v>0.22</v>
      </c>
      <c r="M22" s="39">
        <f>IF(CEILING(IF($N$21=$E$1,$E53,$B22*$D22/3),1)&gt;=M$2,CEILING($F$1*IF($Y$21*$AD$21&gt;=$I$1,1,IF($Y$21*$AD$21&gt;=$H$1,0.5,IF($N$21=$C$1,0,1)))*(1+IF($N$21=$D$1,IF($Y$21*$AD$21&gt;=$K$1,0.4,IF($Y$21*$AD$21&gt;=$J$1,0.2,0)),0))*IF($N$21=$E$1,M53/$F$1,$B22*$D22*$E22^(M$2-1)),0.01),0)</f>
        <v>0.15</v>
      </c>
      <c r="N22" s="98">
        <f>IF(CEILING(IF($N$21=$E$1,$E53,$B22*$D22/3),1)&gt;=N$2,CEILING($F$1*IF($Y$21*$AD$21&gt;=$I$1,1,IF($Y$21*$AD$21&gt;=$H$1,0.5,IF($N$21=$C$1,0,1)))*(1+IF($N$21=$D$1,IF($Y$21*$AD$21&gt;=$K$1,0.4,IF($Y$21*$AD$21&gt;=$J$1,0.2,0)),0))*IF($N$21=$E$1,N53/$F$1,$B22*$D22*$E22^(N$2-1)),0.01),0)</f>
        <v>0</v>
      </c>
      <c r="O22" s="98">
        <f>IF(CEILING(IF($N$21=$E$1,$E53,$B22*$D22/3),1)&gt;=O$2,CEILING($F$1*IF($Y$21*$AD$21&gt;=$I$1,1,IF($Y$21*$AD$21&gt;=$H$1,0.5,IF($N$21=$C$1,0,1)))*(1+IF($N$21=$D$1,IF($Y$21*$AD$21&gt;=$K$1,0.4,IF($Y$21*$AD$21&gt;=$J$1,0.2,0)),0))*IF($N$21=$E$1,O53/$F$1,$B22*$D22*$E22^(O$2-1)),0.01),0)</f>
        <v>0</v>
      </c>
      <c r="P22" s="98">
        <f>IF(CEILING(IF($N$21=$E$1,$E53,$B22*$D22/3),1)&gt;=P$2,CEILING($F$1*IF($Y$21*$AD$21&gt;=$I$1,1,IF($Y$21*$AD$21&gt;=$H$1,0.5,IF($N$21=$C$1,0,1)))*(1+IF($N$21=$D$1,IF($Y$21*$AD$21&gt;=$K$1,0.4,IF($Y$21*$AD$21&gt;=$J$1,0.2,0)),0))*IF($N$21=$E$1,P53/$F$1,$B22*$D22*$E22^(P$2-1)),0.01),0)</f>
        <v>0</v>
      </c>
      <c r="Q22" s="98">
        <f>IF(CEILING(IF($N$21=$E$1,$E53,$B22*$D22/3),1)&gt;=Q$2,CEILING($F$1*IF($Y$21*$AD$21&gt;=$I$1,1,IF($Y$21*$AD$21&gt;=$H$1,0.5,IF($N$21=$C$1,0,1)))*(1+IF($N$21=$D$1,IF($Y$21*$AD$21&gt;=$K$1,0.4,IF($Y$21*$AD$21&gt;=$J$1,0.2,0)),0))*IF($N$21=$E$1,Q53/$F$1,$B22*$D22*$E22^(Q$2-1)),0.01),0)</f>
        <v>0</v>
      </c>
      <c r="R22" s="98">
        <f>IF(CEILING(IF($N$21=$E$1,$E53,$B22*$D22/3),1)&gt;=R$2,CEILING($F$1*IF($Y$21*$AD$21&gt;=$I$1,1,IF($Y$21*$AD$21&gt;=$H$1,0.5,IF($N$21=$C$1,0,1)))*(1+IF($N$21=$D$1,IF($Y$21*$AD$21&gt;=$K$1,0.4,IF($Y$21*$AD$21&gt;=$J$1,0.2,0)),0))*IF($N$21=$E$1,R53/$F$1,$B22*$D22*$E22^(R$2-1)),0.01),0)</f>
        <v>0</v>
      </c>
      <c r="S22" s="98">
        <f>IF(CEILING(IF($N$21=$E$1,$E53,$B22*$D22/3),1)&gt;=S$2,CEILING($F$1*IF($Y$21*$AD$21&gt;=$I$1,1,IF($Y$21*$AD$21&gt;=$H$1,0.5,IF($N$21=$C$1,0,1)))*(1+IF($N$21=$D$1,IF($Y$21*$AD$21&gt;=$K$1,0.4,IF($Y$21*$AD$21&gt;=$J$1,0.2,0)),0))*IF($N$21=$E$1,S53/$F$1,$B22*$D22*$E22^(S$2-1)),0.01),0)</f>
        <v>0</v>
      </c>
      <c r="T22" s="98">
        <f>IF(CEILING(IF($N$21=$E$1,$E53,$B22*$D22/3),1)&gt;=T$2,CEILING($F$1*IF($Y$21*$AD$21&gt;=$I$1,1,IF($Y$21*$AD$21&gt;=$H$1,0.5,IF($N$21=$C$1,0,1)))*(1+IF($N$21=$D$1,IF($Y$21*$AD$21&gt;=$K$1,0.4,IF($Y$21*$AD$21&gt;=$J$1,0.2,0)),0))*IF($N$21=$E$1,T53/$F$1,$B22*$D22*$E22^(T$2-1)),0.01),0)</f>
        <v>0</v>
      </c>
      <c r="U22" s="98">
        <f>IF(CEILING(IF($N$21=$E$1,$E53,$B22*$D22/3),1)&gt;=U$2,CEILING($F$1*IF($Y$21*$AD$21&gt;=$I$1,1,IF($Y$21*$AD$21&gt;=$H$1,0.5,IF($N$21=$C$1,0,1)))*(1+IF($N$21=$D$1,IF($Y$21*$AD$21&gt;=$K$1,0.4,IF($Y$21*$AD$21&gt;=$J$1,0.2,0)),0))*IF($N$21=$E$1,U53/$F$1,$B22*$D22*$E22^(U$2-1)),0.01),0)</f>
        <v>0</v>
      </c>
      <c r="V22" s="98">
        <f>IF(CEILING(IF($N$21=$E$1,$E53,$B22*$D22/3),1)&gt;=V$2,CEILING($F$1*IF($Y$21*$AD$21&gt;=$I$1,1,IF($Y$21*$AD$21&gt;=$H$1,0.5,IF($N$21=$C$1,0,1)))*(1+IF($N$21=$D$1,IF($Y$21*$AD$21&gt;=$K$1,0.4,IF($Y$21*$AD$21&gt;=$J$1,0.2,0)),0))*IF($N$21=$E$1,V53/$F$1,$B22*$D22*$E22^(V$2-1)),0.01),0)</f>
        <v>0</v>
      </c>
      <c r="W22" s="98">
        <f>IF(CEILING(IF($N$21=$E$1,$E53,$B22*$D22/3),1)&gt;=W$2,CEILING($F$1*IF($Y$21*$AD$21&gt;=$I$1,1,IF($Y$21*$AD$21&gt;=$H$1,0.5,IF($N$21=$C$1,0,1)))*(1+IF($N$21=$D$1,IF($Y$21*$AD$21&gt;=$K$1,0.4,IF($Y$21*$AD$21&gt;=$J$1,0.2,0)),0))*IF($N$21=$E$1,W53/$F$1,$B22*$D22*$E22^(W$2-1)),0.01),0)</f>
        <v>0</v>
      </c>
      <c r="X22" s="98">
        <f>IF(CEILING(IF($N$21=$E$1,$E53,$B22*$D22/3),1)&gt;=X$2,CEILING($F$1*IF($Y$21*$AD$21&gt;=$I$1,1,IF($Y$21*$AD$21&gt;=$H$1,0.5,IF($N$21=$C$1,0,1)))*(1+IF($N$21=$D$1,IF($Y$21*$AD$21&gt;=$K$1,0.4,IF($Y$21*$AD$21&gt;=$J$1,0.2,0)),0))*IF($N$21=$E$1,X53/$F$1,$B22*$D22*$E22^(X$2-1)),0.01),0)</f>
        <v>0</v>
      </c>
      <c r="Y22" s="98">
        <f>IF(CEILING(IF($N$21=$E$1,$E53,$B22*$D22/3),1)&gt;=Y$2,CEILING($F$1*IF($Y$21*$AD$21&gt;=$I$1,1,IF($Y$21*$AD$21&gt;=$H$1,0.5,IF($N$21=$C$1,0,1)))*(1+IF($N$21=$D$1,IF($Y$21*$AD$21&gt;=$K$1,0.4,IF($Y$21*$AD$21&gt;=$J$1,0.2,0)),0))*IF($N$21=$E$1,Y53/$F$1,$B22*$D22*$E22^(Y$2-1)),0.01),0)</f>
        <v>0</v>
      </c>
      <c r="Z22" s="98">
        <f>IF(CEILING(IF($N$21=$E$1,$E53,$B22*$D22/3),1)&gt;=Z$2,CEILING($F$1*IF($Y$21*$AD$21&gt;=$I$1,1,IF($Y$21*$AD$21&gt;=$H$1,0.5,IF($N$21=$C$1,0,1)))*(1+IF($N$21=$D$1,IF($Y$21*$AD$21&gt;=$K$1,0.4,IF($Y$21*$AD$21&gt;=$J$1,0.2,0)),0))*IF($N$21=$E$1,Z53/$F$1,$B22*$D22*$E22^(Z$2-1)),0.01),0)</f>
        <v>0</v>
      </c>
      <c r="AA22" s="98">
        <f>IF(CEILING(IF($N$21=$E$1,$E53,$B22*$D22/3),1)&gt;=AA$2,CEILING($F$1*IF($Y$21*$AD$21&gt;=$I$1,1,IF($Y$21*$AD$21&gt;=$H$1,0.5,IF($N$21=$C$1,0,1)))*(1+IF($N$21=$D$1,IF($Y$21*$AD$21&gt;=$K$1,0.4,IF($Y$21*$AD$21&gt;=$J$1,0.2,0)),0))*IF($N$21=$E$1,AA53/$F$1,$B22*$D22*$E22^(AA$2-1)),0.01),0)</f>
        <v>0</v>
      </c>
      <c r="AB22" s="98">
        <f>IF(CEILING(IF($N$21=$E$1,$E53,$B22*$D22/3),1)&gt;=AB$2,CEILING($F$1*IF($Y$21*$AD$21&gt;=$I$1,1,IF($Y$21*$AD$21&gt;=$H$1,0.5,IF($N$21=$C$1,0,1)))*(1+IF($N$21=$D$1,IF($Y$21*$AD$21&gt;=$K$1,0.4,IF($Y$21*$AD$21&gt;=$J$1,0.2,0)),0))*IF($N$21=$E$1,AB53/$F$1,$B22*$D22*$E22^(AB$2-1)),0.01),0)</f>
        <v>0</v>
      </c>
      <c r="AC22" s="98">
        <f>IF(CEILING(IF($N$21=$E$1,$E53,$B22*$D22/3),1)&gt;=AC$2,CEILING($F$1*IF($Y$21*$AD$21&gt;=$I$1,1,IF($Y$21*$AD$21&gt;=$H$1,0.5,IF($N$21=$C$1,0,1)))*(1+IF($N$21=$D$1,IF($Y$21*$AD$21&gt;=$K$1,0.4,IF($Y$21*$AD$21&gt;=$J$1,0.2,0)),0))*IF($N$21=$E$1,AC53/$F$1,$B22*$D22*$E22^(AC$2-1)),0.01),0)</f>
        <v>0</v>
      </c>
      <c r="AD22" s="98">
        <f>IF(CEILING(IF($N$21=$E$1,$E53,$B22*$D22/3),1)&gt;=AD$2,CEILING($F$1*IF($Y$21*$AD$21&gt;=$I$1,1,IF($Y$21*$AD$21&gt;=$H$1,0.5,IF($N$21=$C$1,0,1)))*(1+IF($N$21=$D$1,IF($Y$21*$AD$21&gt;=$K$1,0.4,IF($Y$21*$AD$21&gt;=$J$1,0.2,0)),0))*IF($N$21=$E$1,AD53/$F$1,$B22*$D22*$E22^(AD$2-1)),0.01),0)</f>
        <v>0</v>
      </c>
      <c r="AE22" s="98">
        <f>IF(CEILING(IF($N$21=$E$1,$E53,$B22*$D22/3),1)&gt;=AE$2,CEILING($F$1*IF($Y$21*$AD$21&gt;=$I$1,1,IF($Y$21*$AD$21&gt;=$H$1,0.5,IF($N$21=$C$1,0,1)))*(1+IF($N$21=$D$1,IF($Y$21*$AD$21&gt;=$K$1,0.4,IF($Y$21*$AD$21&gt;=$J$1,0.2,0)),0))*IF($N$21=$E$1,AE53/$F$1,$B22*$D22*$E22^(AE$2-1)),0.01),0)</f>
        <v>0</v>
      </c>
      <c r="AF22" s="98">
        <f>IF(CEILING(IF($N$21=$E$1,$E53,$B22*$D22/3),1)&gt;=AF$2,CEILING($F$1*IF($Y$21*$AD$21&gt;=$I$1,1,IF($Y$21*$AD$21&gt;=$H$1,0.5,IF($N$21=$C$1,0,1)))*(1+IF($N$21=$D$1,IF($Y$21*$AD$21&gt;=$K$1,0.4,IF($Y$21*$AD$21&gt;=$J$1,0.2,0)),0))*IF($N$21=$E$1,AF53/$F$1,$B22*$D22*$E22^(AF$2-1)),0.01),0)</f>
        <v>0</v>
      </c>
      <c r="AG22" s="98">
        <f>IF(CEILING(IF($N$21=$E$1,$E53,$B22*$D22/3),1)&gt;=AG$2,CEILING($F$1*IF($Y$21*$AD$21&gt;=$I$1,1,IF($Y$21*$AD$21&gt;=$H$1,0.5,IF($N$21=$C$1,0,1)))*(1+IF($N$21=$D$1,IF($Y$21*$AD$21&gt;=$K$1,0.4,IF($Y$21*$AD$21&gt;=$J$1,0.2,0)),0))*IF($N$21=$E$1,AG53/$F$1,$B22*$D22*$E22^(AG$2-1)),0.01),0)</f>
        <v>0</v>
      </c>
      <c r="AH22" s="98">
        <f>IF(CEILING(IF($N$21=$E$1,$E53,$B22*$D22/3),1)&gt;=AH$2,CEILING($F$1*IF($Y$21*$AD$21&gt;=$I$1,1,IF($Y$21*$AD$21&gt;=$H$1,0.5,IF($N$21=$C$1,0,1)))*(1+IF($N$21=$D$1,IF($Y$21*$AD$21&gt;=$K$1,0.4,IF($Y$21*$AD$21&gt;=$J$1,0.2,0)),0))*IF($N$21=$E$1,AH53/$F$1,$B22*$D22*$E22^(AH$2-1)),0.01),0)</f>
        <v>0</v>
      </c>
      <c r="AI22" s="99">
        <f>IF(CEILING(IF($N$21=$E$1,$E53,$B22*$D22/3),1)&gt;=AI$2,CEILING($F$1*IF($Y$21*$AD$21&gt;=$I$1,1,IF($Y$21*$AD$21&gt;=$H$1,0.5,IF($N$21=$C$1,0,1)))*(1+IF($N$21=$D$1,IF($Y$21*$AD$21&gt;=$K$1,0.4,IF($Y$21*$AD$21&gt;=$J$1,0.2,0)),0))*IF($N$21=$E$1,AI53/$F$1,$B22*$D22*$E22^(AI$2-1)),0.01),0)</f>
        <v>0</v>
      </c>
    </row>
    <row r="23" spans="1:35" x14ac:dyDescent="0.25">
      <c r="A23" s="97">
        <v>2</v>
      </c>
      <c r="B23" s="60">
        <v>1.1000000000000001</v>
      </c>
      <c r="C23" s="16">
        <v>0</v>
      </c>
      <c r="D23" s="67">
        <f>CEILING(1+MIN(Y$21,T$21-C23-1)+MAX((T$21-C23-1-Y$21)/$M$1,0),1)</f>
        <v>20</v>
      </c>
      <c r="E23" s="63">
        <f>MAX(($G$1/($F$1*D23))^(1/(ROUNDUP(D23/3,)-1)),2/3)</f>
        <v>0.66666666666666663</v>
      </c>
      <c r="F23" s="39">
        <f>IF(CEILING(IF($N$21=$E$1,$E54,$B23*$D23/3),1)&gt;=F$2,CEILING($F$1*IF($Y$21*$AD$21&gt;=$I$1,1,IF($Y$21*$AD$21&gt;=$H$1,0.5,IF($N$21=$C$1,0,1)))*(1+IF($N$21=$D$1,IF($Y$21*$AD$21&gt;=$K$1,0.4,IF($Y$21*$AD$21&gt;=$J$1,0.2,0)),0))*IF($N$21=$E$1,F54/$F$1,$B23*$D23*$E23^(F$2-1)),0.01),0)</f>
        <v>2.2000000000000002</v>
      </c>
      <c r="G23" s="39">
        <f>IF(CEILING(IF($N$21=$E$1,$E54,$B23*$D23/3),1)&gt;=G$2,CEILING($F$1*IF($Y$21*$AD$21&gt;=$I$1,1,IF($Y$21*$AD$21&gt;=$H$1,0.5,IF($N$21=$C$1,0,1)))*(1+IF($N$21=$D$1,IF($Y$21*$AD$21&gt;=$K$1,0.4,IF($Y$21*$AD$21&gt;=$J$1,0.2,0)),0))*IF($N$21=$E$1,G54/$F$1,$B23*$D23*$E23^(G$2-1)),0.01),0)</f>
        <v>1.47</v>
      </c>
      <c r="H23" s="39">
        <f>IF(CEILING(IF($N$21=$E$1,$E54,$B23*$D23/3),1)&gt;=H$2,CEILING($F$1*IF($Y$21*$AD$21&gt;=$I$1,1,IF($Y$21*$AD$21&gt;=$H$1,0.5,IF($N$21=$C$1,0,1)))*(1+IF($N$21=$D$1,IF($Y$21*$AD$21&gt;=$K$1,0.4,IF($Y$21*$AD$21&gt;=$J$1,0.2,0)),0))*IF($N$21=$E$1,H54/$F$1,$B23*$D23*$E23^(H$2-1)),0.01),0)</f>
        <v>0.98</v>
      </c>
      <c r="I23" s="39">
        <f>IF(CEILING(IF($N$21=$E$1,$E54,$B23*$D23/3),1)&gt;=I$2,CEILING($F$1*IF($Y$21*$AD$21&gt;=$I$1,1,IF($Y$21*$AD$21&gt;=$H$1,0.5,IF($N$21=$C$1,0,1)))*(1+IF($N$21=$D$1,IF($Y$21*$AD$21&gt;=$K$1,0.4,IF($Y$21*$AD$21&gt;=$J$1,0.2,0)),0))*IF($N$21=$E$1,I54/$F$1,$B23*$D23*$E23^(I$2-1)),0.01),0)</f>
        <v>0.66</v>
      </c>
      <c r="J23" s="39">
        <f>IF(CEILING(IF($N$21=$E$1,$E54,$B23*$D23/3),1)&gt;=J$2,CEILING($F$1*IF($Y$21*$AD$21&gt;=$I$1,1,IF($Y$21*$AD$21&gt;=$H$1,0.5,IF($N$21=$C$1,0,1)))*(1+IF($N$21=$D$1,IF($Y$21*$AD$21&gt;=$K$1,0.4,IF($Y$21*$AD$21&gt;=$J$1,0.2,0)),0))*IF($N$21=$E$1,J54/$F$1,$B23*$D23*$E23^(J$2-1)),0.01),0)</f>
        <v>0.44</v>
      </c>
      <c r="K23" s="39">
        <f>IF(CEILING(IF($N$21=$E$1,$E54,$B23*$D23/3),1)&gt;=K$2,CEILING($F$1*IF($Y$21*$AD$21&gt;=$I$1,1,IF($Y$21*$AD$21&gt;=$H$1,0.5,IF($N$21=$C$1,0,1)))*(1+IF($N$21=$D$1,IF($Y$21*$AD$21&gt;=$K$1,0.4,IF($Y$21*$AD$21&gt;=$J$1,0.2,0)),0))*IF($N$21=$E$1,K54/$F$1,$B23*$D23*$E23^(K$2-1)),0.01),0)</f>
        <v>0.28999999999999998</v>
      </c>
      <c r="L23" s="39">
        <f>IF(CEILING(IF($N$21=$E$1,$E54,$B23*$D23/3),1)&gt;=L$2,CEILING($F$1*IF($Y$21*$AD$21&gt;=$I$1,1,IF($Y$21*$AD$21&gt;=$H$1,0.5,IF($N$21=$C$1,0,1)))*(1+IF($N$21=$D$1,IF($Y$21*$AD$21&gt;=$K$1,0.4,IF($Y$21*$AD$21&gt;=$J$1,0.2,0)),0))*IF($N$21=$E$1,L54/$F$1,$B23*$D23*$E23^(L$2-1)),0.01),0)</f>
        <v>0.2</v>
      </c>
      <c r="M23" s="39">
        <f>IF(CEILING(IF($N$21=$E$1,$E54,$B23*$D23/3),1)&gt;=M$2,CEILING($F$1*IF($Y$21*$AD$21&gt;=$I$1,1,IF($Y$21*$AD$21&gt;=$H$1,0.5,IF($N$21=$C$1,0,1)))*(1+IF($N$21=$D$1,IF($Y$21*$AD$21&gt;=$K$1,0.4,IF($Y$21*$AD$21&gt;=$J$1,0.2,0)),0))*IF($N$21=$E$1,M54/$F$1,$B23*$D23*$E23^(M$2-1)),0.01),0)</f>
        <v>0.13</v>
      </c>
      <c r="N23" s="39">
        <f>IF(CEILING(IF($N$21=$E$1,$E54,$B23*$D23/3),1)&gt;=N$2,CEILING($F$1*IF($Y$21*$AD$21&gt;=$I$1,1,IF($Y$21*$AD$21&gt;=$H$1,0.5,IF($N$21=$C$1,0,1)))*(1+IF($N$21=$D$1,IF($Y$21*$AD$21&gt;=$K$1,0.4,IF($Y$21*$AD$21&gt;=$J$1,0.2,0)),0))*IF($N$21=$E$1,N54/$F$1,$B23*$D23*$E23^(N$2-1)),0.01),0)</f>
        <v>0</v>
      </c>
      <c r="O23" s="39">
        <f>IF(CEILING(IF($N$21=$E$1,$E54,$B23*$D23/3),1)&gt;=O$2,CEILING($F$1*IF($Y$21*$AD$21&gt;=$I$1,1,IF($Y$21*$AD$21&gt;=$H$1,0.5,IF($N$21=$C$1,0,1)))*(1+IF($N$21=$D$1,IF($Y$21*$AD$21&gt;=$K$1,0.4,IF($Y$21*$AD$21&gt;=$J$1,0.2,0)),0))*IF($N$21=$E$1,O54/$F$1,$B23*$D23*$E23^(O$2-1)),0.01),0)</f>
        <v>0</v>
      </c>
      <c r="P23" s="39">
        <f>IF(CEILING(IF($N$21=$E$1,$E54,$B23*$D23/3),1)&gt;=P$2,CEILING($F$1*IF($Y$21*$AD$21&gt;=$I$1,1,IF($Y$21*$AD$21&gt;=$H$1,0.5,IF($N$21=$C$1,0,1)))*(1+IF($N$21=$D$1,IF($Y$21*$AD$21&gt;=$K$1,0.4,IF($Y$21*$AD$21&gt;=$J$1,0.2,0)),0))*IF($N$21=$E$1,P54/$F$1,$B23*$D23*$E23^(P$2-1)),0.01),0)</f>
        <v>0</v>
      </c>
      <c r="Q23" s="39">
        <f>IF(CEILING(IF($N$21=$E$1,$E54,$B23*$D23/3),1)&gt;=Q$2,CEILING($F$1*IF($Y$21*$AD$21&gt;=$I$1,1,IF($Y$21*$AD$21&gt;=$H$1,0.5,IF($N$21=$C$1,0,1)))*(1+IF($N$21=$D$1,IF($Y$21*$AD$21&gt;=$K$1,0.4,IF($Y$21*$AD$21&gt;=$J$1,0.2,0)),0))*IF($N$21=$E$1,Q54/$F$1,$B23*$D23*$E23^(Q$2-1)),0.01),0)</f>
        <v>0</v>
      </c>
      <c r="R23" s="39">
        <f>IF(CEILING(IF($N$21=$E$1,$E54,$B23*$D23/3),1)&gt;=R$2,CEILING($F$1*IF($Y$21*$AD$21&gt;=$I$1,1,IF($Y$21*$AD$21&gt;=$H$1,0.5,IF($N$21=$C$1,0,1)))*(1+IF($N$21=$D$1,IF($Y$21*$AD$21&gt;=$K$1,0.4,IF($Y$21*$AD$21&gt;=$J$1,0.2,0)),0))*IF($N$21=$E$1,R54/$F$1,$B23*$D23*$E23^(R$2-1)),0.01),0)</f>
        <v>0</v>
      </c>
      <c r="S23" s="39">
        <f>IF(CEILING(IF($N$21=$E$1,$E54,$B23*$D23/3),1)&gt;=S$2,CEILING($F$1*IF($Y$21*$AD$21&gt;=$I$1,1,IF($Y$21*$AD$21&gt;=$H$1,0.5,IF($N$21=$C$1,0,1)))*(1+IF($N$21=$D$1,IF($Y$21*$AD$21&gt;=$K$1,0.4,IF($Y$21*$AD$21&gt;=$J$1,0.2,0)),0))*IF($N$21=$E$1,S54/$F$1,$B23*$D23*$E23^(S$2-1)),0.01),0)</f>
        <v>0</v>
      </c>
      <c r="T23" s="39">
        <f>IF(CEILING(IF($N$21=$E$1,$E54,$B23*$D23/3),1)&gt;=T$2,CEILING($F$1*IF($Y$21*$AD$21&gt;=$I$1,1,IF($Y$21*$AD$21&gt;=$H$1,0.5,IF($N$21=$C$1,0,1)))*(1+IF($N$21=$D$1,IF($Y$21*$AD$21&gt;=$K$1,0.4,IF($Y$21*$AD$21&gt;=$J$1,0.2,0)),0))*IF($N$21=$E$1,T54/$F$1,$B23*$D23*$E23^(T$2-1)),0.01),0)</f>
        <v>0</v>
      </c>
      <c r="U23" s="39">
        <f>IF(CEILING(IF($N$21=$E$1,$E54,$B23*$D23/3),1)&gt;=U$2,CEILING($F$1*IF($Y$21*$AD$21&gt;=$I$1,1,IF($Y$21*$AD$21&gt;=$H$1,0.5,IF($N$21=$C$1,0,1)))*(1+IF($N$21=$D$1,IF($Y$21*$AD$21&gt;=$K$1,0.4,IF($Y$21*$AD$21&gt;=$J$1,0.2,0)),0))*IF($N$21=$E$1,U54/$F$1,$B23*$D23*$E23^(U$2-1)),0.01),0)</f>
        <v>0</v>
      </c>
      <c r="V23" s="39">
        <f>IF(CEILING(IF($N$21=$E$1,$E54,$B23*$D23/3),1)&gt;=V$2,CEILING($F$1*IF($Y$21*$AD$21&gt;=$I$1,1,IF($Y$21*$AD$21&gt;=$H$1,0.5,IF($N$21=$C$1,0,1)))*(1+IF($N$21=$D$1,IF($Y$21*$AD$21&gt;=$K$1,0.4,IF($Y$21*$AD$21&gt;=$J$1,0.2,0)),0))*IF($N$21=$E$1,V54/$F$1,$B23*$D23*$E23^(V$2-1)),0.01),0)</f>
        <v>0</v>
      </c>
      <c r="W23" s="39">
        <f>IF(CEILING(IF($N$21=$E$1,$E54,$B23*$D23/3),1)&gt;=W$2,CEILING($F$1*IF($Y$21*$AD$21&gt;=$I$1,1,IF($Y$21*$AD$21&gt;=$H$1,0.5,IF($N$21=$C$1,0,1)))*(1+IF($N$21=$D$1,IF($Y$21*$AD$21&gt;=$K$1,0.4,IF($Y$21*$AD$21&gt;=$J$1,0.2,0)),0))*IF($N$21=$E$1,W54/$F$1,$B23*$D23*$E23^(W$2-1)),0.01),0)</f>
        <v>0</v>
      </c>
      <c r="X23" s="39">
        <f>IF(CEILING(IF($N$21=$E$1,$E54,$B23*$D23/3),1)&gt;=X$2,CEILING($F$1*IF($Y$21*$AD$21&gt;=$I$1,1,IF($Y$21*$AD$21&gt;=$H$1,0.5,IF($N$21=$C$1,0,1)))*(1+IF($N$21=$D$1,IF($Y$21*$AD$21&gt;=$K$1,0.4,IF($Y$21*$AD$21&gt;=$J$1,0.2,0)),0))*IF($N$21=$E$1,X54/$F$1,$B23*$D23*$E23^(X$2-1)),0.01),0)</f>
        <v>0</v>
      </c>
      <c r="Y23" s="39">
        <f>IF(CEILING(IF($N$21=$E$1,$E54,$B23*$D23/3),1)&gt;=Y$2,CEILING($F$1*IF($Y$21*$AD$21&gt;=$I$1,1,IF($Y$21*$AD$21&gt;=$H$1,0.5,IF($N$21=$C$1,0,1)))*(1+IF($N$21=$D$1,IF($Y$21*$AD$21&gt;=$K$1,0.4,IF($Y$21*$AD$21&gt;=$J$1,0.2,0)),0))*IF($N$21=$E$1,Y54/$F$1,$B23*$D23*$E23^(Y$2-1)),0.01),0)</f>
        <v>0</v>
      </c>
      <c r="Z23" s="39">
        <f>IF(CEILING(IF($N$21=$E$1,$E54,$B23*$D23/3),1)&gt;=Z$2,CEILING($F$1*IF($Y$21*$AD$21&gt;=$I$1,1,IF($Y$21*$AD$21&gt;=$H$1,0.5,IF($N$21=$C$1,0,1)))*(1+IF($N$21=$D$1,IF($Y$21*$AD$21&gt;=$K$1,0.4,IF($Y$21*$AD$21&gt;=$J$1,0.2,0)),0))*IF($N$21=$E$1,Z54/$F$1,$B23*$D23*$E23^(Z$2-1)),0.01),0)</f>
        <v>0</v>
      </c>
      <c r="AA23" s="39">
        <f>IF(CEILING(IF($N$21=$E$1,$E54,$B23*$D23/3),1)&gt;=AA$2,CEILING($F$1*IF($Y$21*$AD$21&gt;=$I$1,1,IF($Y$21*$AD$21&gt;=$H$1,0.5,IF($N$21=$C$1,0,1)))*(1+IF($N$21=$D$1,IF($Y$21*$AD$21&gt;=$K$1,0.4,IF($Y$21*$AD$21&gt;=$J$1,0.2,0)),0))*IF($N$21=$E$1,AA54/$F$1,$B23*$D23*$E23^(AA$2-1)),0.01),0)</f>
        <v>0</v>
      </c>
      <c r="AB23" s="39">
        <f>IF(CEILING(IF($N$21=$E$1,$E54,$B23*$D23/3),1)&gt;=AB$2,CEILING($F$1*IF($Y$21*$AD$21&gt;=$I$1,1,IF($Y$21*$AD$21&gt;=$H$1,0.5,IF($N$21=$C$1,0,1)))*(1+IF($N$21=$D$1,IF($Y$21*$AD$21&gt;=$K$1,0.4,IF($Y$21*$AD$21&gt;=$J$1,0.2,0)),0))*IF($N$21=$E$1,AB54/$F$1,$B23*$D23*$E23^(AB$2-1)),0.01),0)</f>
        <v>0</v>
      </c>
      <c r="AC23" s="39">
        <f>IF(CEILING(IF($N$21=$E$1,$E54,$B23*$D23/3),1)&gt;=AC$2,CEILING($F$1*IF($Y$21*$AD$21&gt;=$I$1,1,IF($Y$21*$AD$21&gt;=$H$1,0.5,IF($N$21=$C$1,0,1)))*(1+IF($N$21=$D$1,IF($Y$21*$AD$21&gt;=$K$1,0.4,IF($Y$21*$AD$21&gt;=$J$1,0.2,0)),0))*IF($N$21=$E$1,AC54/$F$1,$B23*$D23*$E23^(AC$2-1)),0.01),0)</f>
        <v>0</v>
      </c>
      <c r="AD23" s="39">
        <f>IF(CEILING(IF($N$21=$E$1,$E54,$B23*$D23/3),1)&gt;=AD$2,CEILING($F$1*IF($Y$21*$AD$21&gt;=$I$1,1,IF($Y$21*$AD$21&gt;=$H$1,0.5,IF($N$21=$C$1,0,1)))*(1+IF($N$21=$D$1,IF($Y$21*$AD$21&gt;=$K$1,0.4,IF($Y$21*$AD$21&gt;=$J$1,0.2,0)),0))*IF($N$21=$E$1,AD54/$F$1,$B23*$D23*$E23^(AD$2-1)),0.01),0)</f>
        <v>0</v>
      </c>
      <c r="AE23" s="39">
        <f>IF(CEILING(IF($N$21=$E$1,$E54,$B23*$D23/3),1)&gt;=AE$2,CEILING($F$1*IF($Y$21*$AD$21&gt;=$I$1,1,IF($Y$21*$AD$21&gt;=$H$1,0.5,IF($N$21=$C$1,0,1)))*(1+IF($N$21=$D$1,IF($Y$21*$AD$21&gt;=$K$1,0.4,IF($Y$21*$AD$21&gt;=$J$1,0.2,0)),0))*IF($N$21=$E$1,AE54/$F$1,$B23*$D23*$E23^(AE$2-1)),0.01),0)</f>
        <v>0</v>
      </c>
      <c r="AF23" s="39">
        <f>IF(CEILING(IF($N$21=$E$1,$E54,$B23*$D23/3),1)&gt;=AF$2,CEILING($F$1*IF($Y$21*$AD$21&gt;=$I$1,1,IF($Y$21*$AD$21&gt;=$H$1,0.5,IF($N$21=$C$1,0,1)))*(1+IF($N$21=$D$1,IF($Y$21*$AD$21&gt;=$K$1,0.4,IF($Y$21*$AD$21&gt;=$J$1,0.2,0)),0))*IF($N$21=$E$1,AF54/$F$1,$B23*$D23*$E23^(AF$2-1)),0.01),0)</f>
        <v>0</v>
      </c>
      <c r="AG23" s="39">
        <f>IF(CEILING(IF($N$21=$E$1,$E54,$B23*$D23/3),1)&gt;=AG$2,CEILING($F$1*IF($Y$21*$AD$21&gt;=$I$1,1,IF($Y$21*$AD$21&gt;=$H$1,0.5,IF($N$21=$C$1,0,1)))*(1+IF($N$21=$D$1,IF($Y$21*$AD$21&gt;=$K$1,0.4,IF($Y$21*$AD$21&gt;=$J$1,0.2,0)),0))*IF($N$21=$E$1,AG54/$F$1,$B23*$D23*$E23^(AG$2-1)),0.01),0)</f>
        <v>0</v>
      </c>
      <c r="AH23" s="39">
        <f>IF(CEILING(IF($N$21=$E$1,$E54,$B23*$D23/3),1)&gt;=AH$2,CEILING($F$1*IF($Y$21*$AD$21&gt;=$I$1,1,IF($Y$21*$AD$21&gt;=$H$1,0.5,IF($N$21=$C$1,0,1)))*(1+IF($N$21=$D$1,IF($Y$21*$AD$21&gt;=$K$1,0.4,IF($Y$21*$AD$21&gt;=$J$1,0.2,0)),0))*IF($N$21=$E$1,AH54/$F$1,$B23*$D23*$E23^(AH$2-1)),0.01),0)</f>
        <v>0</v>
      </c>
      <c r="AI23" s="40">
        <f>IF(CEILING(IF($N$21=$E$1,$E54,$B23*$D23/3),1)&gt;=AI$2,CEILING($F$1*IF($Y$21*$AD$21&gt;=$I$1,1,IF($Y$21*$AD$21&gt;=$H$1,0.5,IF($N$21=$C$1,0,1)))*(1+IF($N$21=$D$1,IF($Y$21*$AD$21&gt;=$K$1,0.4,IF($Y$21*$AD$21&gt;=$J$1,0.2,0)),0))*IF($N$21=$E$1,AI54/$F$1,$B23*$D23*$E23^(AI$2-1)),0.01),0)</f>
        <v>0</v>
      </c>
    </row>
    <row r="24" spans="1:35" x14ac:dyDescent="0.25">
      <c r="A24" s="97">
        <v>3</v>
      </c>
      <c r="B24" s="60">
        <v>1</v>
      </c>
      <c r="C24" s="16">
        <v>0</v>
      </c>
      <c r="D24" s="67">
        <f>CEILING(1+MIN(Y$21,T$21-C24-1)+MAX((T$21-C24-1-Y$21)/$M$1,0),1)</f>
        <v>20</v>
      </c>
      <c r="E24" s="63">
        <f>MAX(($G$1/($F$1*D24))^(1/(ROUNDUP(D24/3,)-1)),2/3)</f>
        <v>0.66666666666666663</v>
      </c>
      <c r="F24" s="39">
        <f>IF(CEILING(IF($N$21=$E$1,$E55,$B24*$D24/3),1)&gt;=F$2,CEILING($F$1*IF($Y$21*$AD$21&gt;=$I$1,1,IF($Y$21*$AD$21&gt;=$H$1,0.5,IF($N$21=$C$1,0,1)))*(1+IF($N$21=$D$1,IF($Y$21*$AD$21&gt;=$K$1,0.4,IF($Y$21*$AD$21&gt;=$J$1,0.2,0)),0))*IF($N$21=$E$1,F55/$F$1,$B24*$D24*$E24^(F$2-1)),0.01),0)</f>
        <v>2</v>
      </c>
      <c r="G24" s="39">
        <f>IF(CEILING(IF($N$21=$E$1,$E55,$B24*$D24/3),1)&gt;=G$2,CEILING($F$1*IF($Y$21*$AD$21&gt;=$I$1,1,IF($Y$21*$AD$21&gt;=$H$1,0.5,IF($N$21=$C$1,0,1)))*(1+IF($N$21=$D$1,IF($Y$21*$AD$21&gt;=$K$1,0.4,IF($Y$21*$AD$21&gt;=$J$1,0.2,0)),0))*IF($N$21=$E$1,G55/$F$1,$B24*$D24*$E24^(G$2-1)),0.01),0)</f>
        <v>1.34</v>
      </c>
      <c r="H24" s="39">
        <f>IF(CEILING(IF($N$21=$E$1,$E55,$B24*$D24/3),1)&gt;=H$2,CEILING($F$1*IF($Y$21*$AD$21&gt;=$I$1,1,IF($Y$21*$AD$21&gt;=$H$1,0.5,IF($N$21=$C$1,0,1)))*(1+IF($N$21=$D$1,IF($Y$21*$AD$21&gt;=$K$1,0.4,IF($Y$21*$AD$21&gt;=$J$1,0.2,0)),0))*IF($N$21=$E$1,H55/$F$1,$B24*$D24*$E24^(H$2-1)),0.01),0)</f>
        <v>0.89</v>
      </c>
      <c r="I24" s="39">
        <f>IF(CEILING(IF($N$21=$E$1,$E55,$B24*$D24/3),1)&gt;=I$2,CEILING($F$1*IF($Y$21*$AD$21&gt;=$I$1,1,IF($Y$21*$AD$21&gt;=$H$1,0.5,IF($N$21=$C$1,0,1)))*(1+IF($N$21=$D$1,IF($Y$21*$AD$21&gt;=$K$1,0.4,IF($Y$21*$AD$21&gt;=$J$1,0.2,0)),0))*IF($N$21=$E$1,I55/$F$1,$B24*$D24*$E24^(I$2-1)),0.01),0)</f>
        <v>0.6</v>
      </c>
      <c r="J24" s="39">
        <f>IF(CEILING(IF($N$21=$E$1,$E55,$B24*$D24/3),1)&gt;=J$2,CEILING($F$1*IF($Y$21*$AD$21&gt;=$I$1,1,IF($Y$21*$AD$21&gt;=$H$1,0.5,IF($N$21=$C$1,0,1)))*(1+IF($N$21=$D$1,IF($Y$21*$AD$21&gt;=$K$1,0.4,IF($Y$21*$AD$21&gt;=$J$1,0.2,0)),0))*IF($N$21=$E$1,J55/$F$1,$B24*$D24*$E24^(J$2-1)),0.01),0)</f>
        <v>0.4</v>
      </c>
      <c r="K24" s="39">
        <f>IF(CEILING(IF($N$21=$E$1,$E55,$B24*$D24/3),1)&gt;=K$2,CEILING($F$1*IF($Y$21*$AD$21&gt;=$I$1,1,IF($Y$21*$AD$21&gt;=$H$1,0.5,IF($N$21=$C$1,0,1)))*(1+IF($N$21=$D$1,IF($Y$21*$AD$21&gt;=$K$1,0.4,IF($Y$21*$AD$21&gt;=$J$1,0.2,0)),0))*IF($N$21=$E$1,K55/$F$1,$B24*$D24*$E24^(K$2-1)),0.01),0)</f>
        <v>0.27</v>
      </c>
      <c r="L24" s="39">
        <f>IF(CEILING(IF($N$21=$E$1,$E55,$B24*$D24/3),1)&gt;=L$2,CEILING($F$1*IF($Y$21*$AD$21&gt;=$I$1,1,IF($Y$21*$AD$21&gt;=$H$1,0.5,IF($N$21=$C$1,0,1)))*(1+IF($N$21=$D$1,IF($Y$21*$AD$21&gt;=$K$1,0.4,IF($Y$21*$AD$21&gt;=$J$1,0.2,0)),0))*IF($N$21=$E$1,L55/$F$1,$B24*$D24*$E24^(L$2-1)),0.01),0)</f>
        <v>0.18</v>
      </c>
      <c r="M24" s="39">
        <f>IF(CEILING(IF($N$21=$E$1,$E55,$B24*$D24/3),1)&gt;=M$2,CEILING($F$1*IF($Y$21*$AD$21&gt;=$I$1,1,IF($Y$21*$AD$21&gt;=$H$1,0.5,IF($N$21=$C$1,0,1)))*(1+IF($N$21=$D$1,IF($Y$21*$AD$21&gt;=$K$1,0.4,IF($Y$21*$AD$21&gt;=$J$1,0.2,0)),0))*IF($N$21=$E$1,M55/$F$1,$B24*$D24*$E24^(M$2-1)),0.01),0)</f>
        <v>0</v>
      </c>
      <c r="N24" s="39">
        <f>IF(CEILING(IF($N$21=$E$1,$E55,$B24*$D24/3),1)&gt;=N$2,CEILING($F$1*IF($Y$21*$AD$21&gt;=$I$1,1,IF($Y$21*$AD$21&gt;=$H$1,0.5,IF($N$21=$C$1,0,1)))*(1+IF($N$21=$D$1,IF($Y$21*$AD$21&gt;=$K$1,0.4,IF($Y$21*$AD$21&gt;=$J$1,0.2,0)),0))*IF($N$21=$E$1,N55/$F$1,$B24*$D24*$E24^(N$2-1)),0.01),0)</f>
        <v>0</v>
      </c>
      <c r="O24" s="39">
        <f>IF(CEILING(IF($N$21=$E$1,$E55,$B24*$D24/3),1)&gt;=O$2,CEILING($F$1*IF($Y$21*$AD$21&gt;=$I$1,1,IF($Y$21*$AD$21&gt;=$H$1,0.5,IF($N$21=$C$1,0,1)))*(1+IF($N$21=$D$1,IF($Y$21*$AD$21&gt;=$K$1,0.4,IF($Y$21*$AD$21&gt;=$J$1,0.2,0)),0))*IF($N$21=$E$1,O55/$F$1,$B24*$D24*$E24^(O$2-1)),0.01),0)</f>
        <v>0</v>
      </c>
      <c r="P24" s="39">
        <f>IF(CEILING(IF($N$21=$E$1,$E55,$B24*$D24/3),1)&gt;=P$2,CEILING($F$1*IF($Y$21*$AD$21&gt;=$I$1,1,IF($Y$21*$AD$21&gt;=$H$1,0.5,IF($N$21=$C$1,0,1)))*(1+IF($N$21=$D$1,IF($Y$21*$AD$21&gt;=$K$1,0.4,IF($Y$21*$AD$21&gt;=$J$1,0.2,0)),0))*IF($N$21=$E$1,P55/$F$1,$B24*$D24*$E24^(P$2-1)),0.01),0)</f>
        <v>0</v>
      </c>
      <c r="Q24" s="39">
        <f>IF(CEILING(IF($N$21=$E$1,$E55,$B24*$D24/3),1)&gt;=Q$2,CEILING($F$1*IF($Y$21*$AD$21&gt;=$I$1,1,IF($Y$21*$AD$21&gt;=$H$1,0.5,IF($N$21=$C$1,0,1)))*(1+IF($N$21=$D$1,IF($Y$21*$AD$21&gt;=$K$1,0.4,IF($Y$21*$AD$21&gt;=$J$1,0.2,0)),0))*IF($N$21=$E$1,Q55/$F$1,$B24*$D24*$E24^(Q$2-1)),0.01),0)</f>
        <v>0</v>
      </c>
      <c r="R24" s="39">
        <f>IF(CEILING(IF($N$21=$E$1,$E55,$B24*$D24/3),1)&gt;=R$2,CEILING($F$1*IF($Y$21*$AD$21&gt;=$I$1,1,IF($Y$21*$AD$21&gt;=$H$1,0.5,IF($N$21=$C$1,0,1)))*(1+IF($N$21=$D$1,IF($Y$21*$AD$21&gt;=$K$1,0.4,IF($Y$21*$AD$21&gt;=$J$1,0.2,0)),0))*IF($N$21=$E$1,R55/$F$1,$B24*$D24*$E24^(R$2-1)),0.01),0)</f>
        <v>0</v>
      </c>
      <c r="S24" s="39">
        <f>IF(CEILING(IF($N$21=$E$1,$E55,$B24*$D24/3),1)&gt;=S$2,CEILING($F$1*IF($Y$21*$AD$21&gt;=$I$1,1,IF($Y$21*$AD$21&gt;=$H$1,0.5,IF($N$21=$C$1,0,1)))*(1+IF($N$21=$D$1,IF($Y$21*$AD$21&gt;=$K$1,0.4,IF($Y$21*$AD$21&gt;=$J$1,0.2,0)),0))*IF($N$21=$E$1,S55/$F$1,$B24*$D24*$E24^(S$2-1)),0.01),0)</f>
        <v>0</v>
      </c>
      <c r="T24" s="39">
        <f>IF(CEILING(IF($N$21=$E$1,$E55,$B24*$D24/3),1)&gt;=T$2,CEILING($F$1*IF($Y$21*$AD$21&gt;=$I$1,1,IF($Y$21*$AD$21&gt;=$H$1,0.5,IF($N$21=$C$1,0,1)))*(1+IF($N$21=$D$1,IF($Y$21*$AD$21&gt;=$K$1,0.4,IF($Y$21*$AD$21&gt;=$J$1,0.2,0)),0))*IF($N$21=$E$1,T55/$F$1,$B24*$D24*$E24^(T$2-1)),0.01),0)</f>
        <v>0</v>
      </c>
      <c r="U24" s="39">
        <f>IF(CEILING(IF($N$21=$E$1,$E55,$B24*$D24/3),1)&gt;=U$2,CEILING($F$1*IF($Y$21*$AD$21&gt;=$I$1,1,IF($Y$21*$AD$21&gt;=$H$1,0.5,IF($N$21=$C$1,0,1)))*(1+IF($N$21=$D$1,IF($Y$21*$AD$21&gt;=$K$1,0.4,IF($Y$21*$AD$21&gt;=$J$1,0.2,0)),0))*IF($N$21=$E$1,U55/$F$1,$B24*$D24*$E24^(U$2-1)),0.01),0)</f>
        <v>0</v>
      </c>
      <c r="V24" s="39">
        <f>IF(CEILING(IF($N$21=$E$1,$E55,$B24*$D24/3),1)&gt;=V$2,CEILING($F$1*IF($Y$21*$AD$21&gt;=$I$1,1,IF($Y$21*$AD$21&gt;=$H$1,0.5,IF($N$21=$C$1,0,1)))*(1+IF($N$21=$D$1,IF($Y$21*$AD$21&gt;=$K$1,0.4,IF($Y$21*$AD$21&gt;=$J$1,0.2,0)),0))*IF($N$21=$E$1,V55/$F$1,$B24*$D24*$E24^(V$2-1)),0.01),0)</f>
        <v>0</v>
      </c>
      <c r="W24" s="39">
        <f>IF(CEILING(IF($N$21=$E$1,$E55,$B24*$D24/3),1)&gt;=W$2,CEILING($F$1*IF($Y$21*$AD$21&gt;=$I$1,1,IF($Y$21*$AD$21&gt;=$H$1,0.5,IF($N$21=$C$1,0,1)))*(1+IF($N$21=$D$1,IF($Y$21*$AD$21&gt;=$K$1,0.4,IF($Y$21*$AD$21&gt;=$J$1,0.2,0)),0))*IF($N$21=$E$1,W55/$F$1,$B24*$D24*$E24^(W$2-1)),0.01),0)</f>
        <v>0</v>
      </c>
      <c r="X24" s="39">
        <f>IF(CEILING(IF($N$21=$E$1,$E55,$B24*$D24/3),1)&gt;=X$2,CEILING($F$1*IF($Y$21*$AD$21&gt;=$I$1,1,IF($Y$21*$AD$21&gt;=$H$1,0.5,IF($N$21=$C$1,0,1)))*(1+IF($N$21=$D$1,IF($Y$21*$AD$21&gt;=$K$1,0.4,IF($Y$21*$AD$21&gt;=$J$1,0.2,0)),0))*IF($N$21=$E$1,X55/$F$1,$B24*$D24*$E24^(X$2-1)),0.01),0)</f>
        <v>0</v>
      </c>
      <c r="Y24" s="39">
        <f>IF(CEILING(IF($N$21=$E$1,$E55,$B24*$D24/3),1)&gt;=Y$2,CEILING($F$1*IF($Y$21*$AD$21&gt;=$I$1,1,IF($Y$21*$AD$21&gt;=$H$1,0.5,IF($N$21=$C$1,0,1)))*(1+IF($N$21=$D$1,IF($Y$21*$AD$21&gt;=$K$1,0.4,IF($Y$21*$AD$21&gt;=$J$1,0.2,0)),0))*IF($N$21=$E$1,Y55/$F$1,$B24*$D24*$E24^(Y$2-1)),0.01),0)</f>
        <v>0</v>
      </c>
      <c r="Z24" s="39">
        <f>IF(CEILING(IF($N$21=$E$1,$E55,$B24*$D24/3),1)&gt;=Z$2,CEILING($F$1*IF($Y$21*$AD$21&gt;=$I$1,1,IF($Y$21*$AD$21&gt;=$H$1,0.5,IF($N$21=$C$1,0,1)))*(1+IF($N$21=$D$1,IF($Y$21*$AD$21&gt;=$K$1,0.4,IF($Y$21*$AD$21&gt;=$J$1,0.2,0)),0))*IF($N$21=$E$1,Z55/$F$1,$B24*$D24*$E24^(Z$2-1)),0.01),0)</f>
        <v>0</v>
      </c>
      <c r="AA24" s="39">
        <f>IF(CEILING(IF($N$21=$E$1,$E55,$B24*$D24/3),1)&gt;=AA$2,CEILING($F$1*IF($Y$21*$AD$21&gt;=$I$1,1,IF($Y$21*$AD$21&gt;=$H$1,0.5,IF($N$21=$C$1,0,1)))*(1+IF($N$21=$D$1,IF($Y$21*$AD$21&gt;=$K$1,0.4,IF($Y$21*$AD$21&gt;=$J$1,0.2,0)),0))*IF($N$21=$E$1,AA55/$F$1,$B24*$D24*$E24^(AA$2-1)),0.01),0)</f>
        <v>0</v>
      </c>
      <c r="AB24" s="39">
        <f>IF(CEILING(IF($N$21=$E$1,$E55,$B24*$D24/3),1)&gt;=AB$2,CEILING($F$1*IF($Y$21*$AD$21&gt;=$I$1,1,IF($Y$21*$AD$21&gt;=$H$1,0.5,IF($N$21=$C$1,0,1)))*(1+IF($N$21=$D$1,IF($Y$21*$AD$21&gt;=$K$1,0.4,IF($Y$21*$AD$21&gt;=$J$1,0.2,0)),0))*IF($N$21=$E$1,AB55/$F$1,$B24*$D24*$E24^(AB$2-1)),0.01),0)</f>
        <v>0</v>
      </c>
      <c r="AC24" s="39">
        <f>IF(CEILING(IF($N$21=$E$1,$E55,$B24*$D24/3),1)&gt;=AC$2,CEILING($F$1*IF($Y$21*$AD$21&gt;=$I$1,1,IF($Y$21*$AD$21&gt;=$H$1,0.5,IF($N$21=$C$1,0,1)))*(1+IF($N$21=$D$1,IF($Y$21*$AD$21&gt;=$K$1,0.4,IF($Y$21*$AD$21&gt;=$J$1,0.2,0)),0))*IF($N$21=$E$1,AC55/$F$1,$B24*$D24*$E24^(AC$2-1)),0.01),0)</f>
        <v>0</v>
      </c>
      <c r="AD24" s="39">
        <f>IF(CEILING(IF($N$21=$E$1,$E55,$B24*$D24/3),1)&gt;=AD$2,CEILING($F$1*IF($Y$21*$AD$21&gt;=$I$1,1,IF($Y$21*$AD$21&gt;=$H$1,0.5,IF($N$21=$C$1,0,1)))*(1+IF($N$21=$D$1,IF($Y$21*$AD$21&gt;=$K$1,0.4,IF($Y$21*$AD$21&gt;=$J$1,0.2,0)),0))*IF($N$21=$E$1,AD55/$F$1,$B24*$D24*$E24^(AD$2-1)),0.01),0)</f>
        <v>0</v>
      </c>
      <c r="AE24" s="39">
        <f>IF(CEILING(IF($N$21=$E$1,$E55,$B24*$D24/3),1)&gt;=AE$2,CEILING($F$1*IF($Y$21*$AD$21&gt;=$I$1,1,IF($Y$21*$AD$21&gt;=$H$1,0.5,IF($N$21=$C$1,0,1)))*(1+IF($N$21=$D$1,IF($Y$21*$AD$21&gt;=$K$1,0.4,IF($Y$21*$AD$21&gt;=$J$1,0.2,0)),0))*IF($N$21=$E$1,AE55/$F$1,$B24*$D24*$E24^(AE$2-1)),0.01),0)</f>
        <v>0</v>
      </c>
      <c r="AF24" s="39">
        <f>IF(CEILING(IF($N$21=$E$1,$E55,$B24*$D24/3),1)&gt;=AF$2,CEILING($F$1*IF($Y$21*$AD$21&gt;=$I$1,1,IF($Y$21*$AD$21&gt;=$H$1,0.5,IF($N$21=$C$1,0,1)))*(1+IF($N$21=$D$1,IF($Y$21*$AD$21&gt;=$K$1,0.4,IF($Y$21*$AD$21&gt;=$J$1,0.2,0)),0))*IF($N$21=$E$1,AF55/$F$1,$B24*$D24*$E24^(AF$2-1)),0.01),0)</f>
        <v>0</v>
      </c>
      <c r="AG24" s="39">
        <f>IF(CEILING(IF($N$21=$E$1,$E55,$B24*$D24/3),1)&gt;=AG$2,CEILING($F$1*IF($Y$21*$AD$21&gt;=$I$1,1,IF($Y$21*$AD$21&gt;=$H$1,0.5,IF($N$21=$C$1,0,1)))*(1+IF($N$21=$D$1,IF($Y$21*$AD$21&gt;=$K$1,0.4,IF($Y$21*$AD$21&gt;=$J$1,0.2,0)),0))*IF($N$21=$E$1,AG55/$F$1,$B24*$D24*$E24^(AG$2-1)),0.01),0)</f>
        <v>0</v>
      </c>
      <c r="AH24" s="39">
        <f>IF(CEILING(IF($N$21=$E$1,$E55,$B24*$D24/3),1)&gt;=AH$2,CEILING($F$1*IF($Y$21*$AD$21&gt;=$I$1,1,IF($Y$21*$AD$21&gt;=$H$1,0.5,IF($N$21=$C$1,0,1)))*(1+IF($N$21=$D$1,IF($Y$21*$AD$21&gt;=$K$1,0.4,IF($Y$21*$AD$21&gt;=$J$1,0.2,0)),0))*IF($N$21=$E$1,AH55/$F$1,$B24*$D24*$E24^(AH$2-1)),0.01),0)</f>
        <v>0</v>
      </c>
      <c r="AI24" s="40">
        <f>IF(CEILING(IF($N$21=$E$1,$E55,$B24*$D24/3),1)&gt;=AI$2,CEILING($F$1*IF($Y$21*$AD$21&gt;=$I$1,1,IF($Y$21*$AD$21&gt;=$H$1,0.5,IF($N$21=$C$1,0,1)))*(1+IF($N$21=$D$1,IF($Y$21*$AD$21&gt;=$K$1,0.4,IF($Y$21*$AD$21&gt;=$J$1,0.2,0)),0))*IF($N$21=$E$1,AI55/$F$1,$B24*$D24*$E24^(AI$2-1)),0.01),0)</f>
        <v>0</v>
      </c>
    </row>
    <row r="25" spans="1:35" x14ac:dyDescent="0.25">
      <c r="A25" s="97">
        <v>4</v>
      </c>
      <c r="B25" s="60">
        <v>0.9</v>
      </c>
      <c r="C25" s="16">
        <v>0</v>
      </c>
      <c r="D25" s="67">
        <f>CEILING(1+MIN(Y$21,T$21-C25-1)+MAX((T$21-C25-1-Y$21)/$M$1,0),1)</f>
        <v>20</v>
      </c>
      <c r="E25" s="63">
        <f>MAX(($G$1/($F$1*D25))^(1/(ROUNDUP(D25/3,)-1)),2/3)</f>
        <v>0.66666666666666663</v>
      </c>
      <c r="F25" s="39">
        <f>IF(CEILING(IF($N$21=$E$1,$E56,$B25*$D25/3),1)&gt;=F$2,CEILING($F$1*IF($Y$21*$AD$21&gt;=$I$1,1,IF($Y$21*$AD$21&gt;=$H$1,0.5,IF($N$21=$C$1,0,1)))*(1+IF($N$21=$D$1,IF($Y$21*$AD$21&gt;=$K$1,0.4,IF($Y$21*$AD$21&gt;=$J$1,0.2,0)),0))*IF($N$21=$E$1,F56/$F$1,$B25*$D25*$E25^(F$2-1)),0.01),0)</f>
        <v>1.8</v>
      </c>
      <c r="G25" s="39">
        <f>IF(CEILING(IF($N$21=$E$1,$E56,$B25*$D25/3),1)&gt;=G$2,CEILING($F$1*IF($Y$21*$AD$21&gt;=$I$1,1,IF($Y$21*$AD$21&gt;=$H$1,0.5,IF($N$21=$C$1,0,1)))*(1+IF($N$21=$D$1,IF($Y$21*$AD$21&gt;=$K$1,0.4,IF($Y$21*$AD$21&gt;=$J$1,0.2,0)),0))*IF($N$21=$E$1,G56/$F$1,$B25*$D25*$E25^(G$2-1)),0.01),0)</f>
        <v>1.2</v>
      </c>
      <c r="H25" s="39">
        <f>IF(CEILING(IF($N$21=$E$1,$E56,$B25*$D25/3),1)&gt;=H$2,CEILING($F$1*IF($Y$21*$AD$21&gt;=$I$1,1,IF($Y$21*$AD$21&gt;=$H$1,0.5,IF($N$21=$C$1,0,1)))*(1+IF($N$21=$D$1,IF($Y$21*$AD$21&gt;=$K$1,0.4,IF($Y$21*$AD$21&gt;=$J$1,0.2,0)),0))*IF($N$21=$E$1,H56/$F$1,$B25*$D25*$E25^(H$2-1)),0.01),0)</f>
        <v>0.8</v>
      </c>
      <c r="I25" s="39">
        <f>IF(CEILING(IF($N$21=$E$1,$E56,$B25*$D25/3),1)&gt;=I$2,CEILING($F$1*IF($Y$21*$AD$21&gt;=$I$1,1,IF($Y$21*$AD$21&gt;=$H$1,0.5,IF($N$21=$C$1,0,1)))*(1+IF($N$21=$D$1,IF($Y$21*$AD$21&gt;=$K$1,0.4,IF($Y$21*$AD$21&gt;=$J$1,0.2,0)),0))*IF($N$21=$E$1,I56/$F$1,$B25*$D25*$E25^(I$2-1)),0.01),0)</f>
        <v>0.54</v>
      </c>
      <c r="J25" s="39">
        <f>IF(CEILING(IF($N$21=$E$1,$E56,$B25*$D25/3),1)&gt;=J$2,CEILING($F$1*IF($Y$21*$AD$21&gt;=$I$1,1,IF($Y$21*$AD$21&gt;=$H$1,0.5,IF($N$21=$C$1,0,1)))*(1+IF($N$21=$D$1,IF($Y$21*$AD$21&gt;=$K$1,0.4,IF($Y$21*$AD$21&gt;=$J$1,0.2,0)),0))*IF($N$21=$E$1,J56/$F$1,$B25*$D25*$E25^(J$2-1)),0.01),0)</f>
        <v>0.36</v>
      </c>
      <c r="K25" s="39">
        <f>IF(CEILING(IF($N$21=$E$1,$E56,$B25*$D25/3),1)&gt;=K$2,CEILING($F$1*IF($Y$21*$AD$21&gt;=$I$1,1,IF($Y$21*$AD$21&gt;=$H$1,0.5,IF($N$21=$C$1,0,1)))*(1+IF($N$21=$D$1,IF($Y$21*$AD$21&gt;=$K$1,0.4,IF($Y$21*$AD$21&gt;=$J$1,0.2,0)),0))*IF($N$21=$E$1,K56/$F$1,$B25*$D25*$E25^(K$2-1)),0.01),0)</f>
        <v>0.24</v>
      </c>
      <c r="L25" s="39">
        <f>IF(CEILING(IF($N$21=$E$1,$E56,$B25*$D25/3),1)&gt;=L$2,CEILING($F$1*IF($Y$21*$AD$21&gt;=$I$1,1,IF($Y$21*$AD$21&gt;=$H$1,0.5,IF($N$21=$C$1,0,1)))*(1+IF($N$21=$D$1,IF($Y$21*$AD$21&gt;=$K$1,0.4,IF($Y$21*$AD$21&gt;=$J$1,0.2,0)),0))*IF($N$21=$E$1,L56/$F$1,$B25*$D25*$E25^(L$2-1)),0.01),0)</f>
        <v>0</v>
      </c>
      <c r="M25" s="39">
        <f>IF(CEILING(IF($N$21=$E$1,$E56,$B25*$D25/3),1)&gt;=M$2,CEILING($F$1*IF($Y$21*$AD$21&gt;=$I$1,1,IF($Y$21*$AD$21&gt;=$H$1,0.5,IF($N$21=$C$1,0,1)))*(1+IF($N$21=$D$1,IF($Y$21*$AD$21&gt;=$K$1,0.4,IF($Y$21*$AD$21&gt;=$J$1,0.2,0)),0))*IF($N$21=$E$1,M56/$F$1,$B25*$D25*$E25^(M$2-1)),0.01),0)</f>
        <v>0</v>
      </c>
      <c r="N25" s="39">
        <f>IF(CEILING(IF($N$21=$E$1,$E56,$B25*$D25/3),1)&gt;=N$2,CEILING($F$1*IF($Y$21*$AD$21&gt;=$I$1,1,IF($Y$21*$AD$21&gt;=$H$1,0.5,IF($N$21=$C$1,0,1)))*(1+IF($N$21=$D$1,IF($Y$21*$AD$21&gt;=$K$1,0.4,IF($Y$21*$AD$21&gt;=$J$1,0.2,0)),0))*IF($N$21=$E$1,N56/$F$1,$B25*$D25*$E25^(N$2-1)),0.01),0)</f>
        <v>0</v>
      </c>
      <c r="O25" s="39">
        <f>IF(CEILING(IF($N$21=$E$1,$E56,$B25*$D25/3),1)&gt;=O$2,CEILING($F$1*IF($Y$21*$AD$21&gt;=$I$1,1,IF($Y$21*$AD$21&gt;=$H$1,0.5,IF($N$21=$C$1,0,1)))*(1+IF($N$21=$D$1,IF($Y$21*$AD$21&gt;=$K$1,0.4,IF($Y$21*$AD$21&gt;=$J$1,0.2,0)),0))*IF($N$21=$E$1,O56/$F$1,$B25*$D25*$E25^(O$2-1)),0.01),0)</f>
        <v>0</v>
      </c>
      <c r="P25" s="39">
        <f>IF(CEILING(IF($N$21=$E$1,$E56,$B25*$D25/3),1)&gt;=P$2,CEILING($F$1*IF($Y$21*$AD$21&gt;=$I$1,1,IF($Y$21*$AD$21&gt;=$H$1,0.5,IF($N$21=$C$1,0,1)))*(1+IF($N$21=$D$1,IF($Y$21*$AD$21&gt;=$K$1,0.4,IF($Y$21*$AD$21&gt;=$J$1,0.2,0)),0))*IF($N$21=$E$1,P56/$F$1,$B25*$D25*$E25^(P$2-1)),0.01),0)</f>
        <v>0</v>
      </c>
      <c r="Q25" s="39">
        <f>IF(CEILING(IF($N$21=$E$1,$E56,$B25*$D25/3),1)&gt;=Q$2,CEILING($F$1*IF($Y$21*$AD$21&gt;=$I$1,1,IF($Y$21*$AD$21&gt;=$H$1,0.5,IF($N$21=$C$1,0,1)))*(1+IF($N$21=$D$1,IF($Y$21*$AD$21&gt;=$K$1,0.4,IF($Y$21*$AD$21&gt;=$J$1,0.2,0)),0))*IF($N$21=$E$1,Q56/$F$1,$B25*$D25*$E25^(Q$2-1)),0.01),0)</f>
        <v>0</v>
      </c>
      <c r="R25" s="39">
        <f>IF(CEILING(IF($N$21=$E$1,$E56,$B25*$D25/3),1)&gt;=R$2,CEILING($F$1*IF($Y$21*$AD$21&gt;=$I$1,1,IF($Y$21*$AD$21&gt;=$H$1,0.5,IF($N$21=$C$1,0,1)))*(1+IF($N$21=$D$1,IF($Y$21*$AD$21&gt;=$K$1,0.4,IF($Y$21*$AD$21&gt;=$J$1,0.2,0)),0))*IF($N$21=$E$1,R56/$F$1,$B25*$D25*$E25^(R$2-1)),0.01),0)</f>
        <v>0</v>
      </c>
      <c r="S25" s="39">
        <f>IF(CEILING(IF($N$21=$E$1,$E56,$B25*$D25/3),1)&gt;=S$2,CEILING($F$1*IF($Y$21*$AD$21&gt;=$I$1,1,IF($Y$21*$AD$21&gt;=$H$1,0.5,IF($N$21=$C$1,0,1)))*(1+IF($N$21=$D$1,IF($Y$21*$AD$21&gt;=$K$1,0.4,IF($Y$21*$AD$21&gt;=$J$1,0.2,0)),0))*IF($N$21=$E$1,S56/$F$1,$B25*$D25*$E25^(S$2-1)),0.01),0)</f>
        <v>0</v>
      </c>
      <c r="T25" s="39">
        <f>IF(CEILING(IF($N$21=$E$1,$E56,$B25*$D25/3),1)&gt;=T$2,CEILING($F$1*IF($Y$21*$AD$21&gt;=$I$1,1,IF($Y$21*$AD$21&gt;=$H$1,0.5,IF($N$21=$C$1,0,1)))*(1+IF($N$21=$D$1,IF($Y$21*$AD$21&gt;=$K$1,0.4,IF($Y$21*$AD$21&gt;=$J$1,0.2,0)),0))*IF($N$21=$E$1,T56/$F$1,$B25*$D25*$E25^(T$2-1)),0.01),0)</f>
        <v>0</v>
      </c>
      <c r="U25" s="39">
        <f>IF(CEILING(IF($N$21=$E$1,$E56,$B25*$D25/3),1)&gt;=U$2,CEILING($F$1*IF($Y$21*$AD$21&gt;=$I$1,1,IF($Y$21*$AD$21&gt;=$H$1,0.5,IF($N$21=$C$1,0,1)))*(1+IF($N$21=$D$1,IF($Y$21*$AD$21&gt;=$K$1,0.4,IF($Y$21*$AD$21&gt;=$J$1,0.2,0)),0))*IF($N$21=$E$1,U56/$F$1,$B25*$D25*$E25^(U$2-1)),0.01),0)</f>
        <v>0</v>
      </c>
      <c r="V25" s="39">
        <f>IF(CEILING(IF($N$21=$E$1,$E56,$B25*$D25/3),1)&gt;=V$2,CEILING($F$1*IF($Y$21*$AD$21&gt;=$I$1,1,IF($Y$21*$AD$21&gt;=$H$1,0.5,IF($N$21=$C$1,0,1)))*(1+IF($N$21=$D$1,IF($Y$21*$AD$21&gt;=$K$1,0.4,IF($Y$21*$AD$21&gt;=$J$1,0.2,0)),0))*IF($N$21=$E$1,V56/$F$1,$B25*$D25*$E25^(V$2-1)),0.01),0)</f>
        <v>0</v>
      </c>
      <c r="W25" s="39">
        <f>IF(CEILING(IF($N$21=$E$1,$E56,$B25*$D25/3),1)&gt;=W$2,CEILING($F$1*IF($Y$21*$AD$21&gt;=$I$1,1,IF($Y$21*$AD$21&gt;=$H$1,0.5,IF($N$21=$C$1,0,1)))*(1+IF($N$21=$D$1,IF($Y$21*$AD$21&gt;=$K$1,0.4,IF($Y$21*$AD$21&gt;=$J$1,0.2,0)),0))*IF($N$21=$E$1,W56/$F$1,$B25*$D25*$E25^(W$2-1)),0.01),0)</f>
        <v>0</v>
      </c>
      <c r="X25" s="39">
        <f>IF(CEILING(IF($N$21=$E$1,$E56,$B25*$D25/3),1)&gt;=X$2,CEILING($F$1*IF($Y$21*$AD$21&gt;=$I$1,1,IF($Y$21*$AD$21&gt;=$H$1,0.5,IF($N$21=$C$1,0,1)))*(1+IF($N$21=$D$1,IF($Y$21*$AD$21&gt;=$K$1,0.4,IF($Y$21*$AD$21&gt;=$J$1,0.2,0)),0))*IF($N$21=$E$1,X56/$F$1,$B25*$D25*$E25^(X$2-1)),0.01),0)</f>
        <v>0</v>
      </c>
      <c r="Y25" s="39">
        <f>IF(CEILING(IF($N$21=$E$1,$E56,$B25*$D25/3),1)&gt;=Y$2,CEILING($F$1*IF($Y$21*$AD$21&gt;=$I$1,1,IF($Y$21*$AD$21&gt;=$H$1,0.5,IF($N$21=$C$1,0,1)))*(1+IF($N$21=$D$1,IF($Y$21*$AD$21&gt;=$K$1,0.4,IF($Y$21*$AD$21&gt;=$J$1,0.2,0)),0))*IF($N$21=$E$1,Y56/$F$1,$B25*$D25*$E25^(Y$2-1)),0.01),0)</f>
        <v>0</v>
      </c>
      <c r="Z25" s="39">
        <f>IF(CEILING(IF($N$21=$E$1,$E56,$B25*$D25/3),1)&gt;=Z$2,CEILING($F$1*IF($Y$21*$AD$21&gt;=$I$1,1,IF($Y$21*$AD$21&gt;=$H$1,0.5,IF($N$21=$C$1,0,1)))*(1+IF($N$21=$D$1,IF($Y$21*$AD$21&gt;=$K$1,0.4,IF($Y$21*$AD$21&gt;=$J$1,0.2,0)),0))*IF($N$21=$E$1,Z56/$F$1,$B25*$D25*$E25^(Z$2-1)),0.01),0)</f>
        <v>0</v>
      </c>
      <c r="AA25" s="39">
        <f>IF(CEILING(IF($N$21=$E$1,$E56,$B25*$D25/3),1)&gt;=AA$2,CEILING($F$1*IF($Y$21*$AD$21&gt;=$I$1,1,IF($Y$21*$AD$21&gt;=$H$1,0.5,IF($N$21=$C$1,0,1)))*(1+IF($N$21=$D$1,IF($Y$21*$AD$21&gt;=$K$1,0.4,IF($Y$21*$AD$21&gt;=$J$1,0.2,0)),0))*IF($N$21=$E$1,AA56/$F$1,$B25*$D25*$E25^(AA$2-1)),0.01),0)</f>
        <v>0</v>
      </c>
      <c r="AB25" s="39">
        <f>IF(CEILING(IF($N$21=$E$1,$E56,$B25*$D25/3),1)&gt;=AB$2,CEILING($F$1*IF($Y$21*$AD$21&gt;=$I$1,1,IF($Y$21*$AD$21&gt;=$H$1,0.5,IF($N$21=$C$1,0,1)))*(1+IF($N$21=$D$1,IF($Y$21*$AD$21&gt;=$K$1,0.4,IF($Y$21*$AD$21&gt;=$J$1,0.2,0)),0))*IF($N$21=$E$1,AB56/$F$1,$B25*$D25*$E25^(AB$2-1)),0.01),0)</f>
        <v>0</v>
      </c>
      <c r="AC25" s="39">
        <f>IF(CEILING(IF($N$21=$E$1,$E56,$B25*$D25/3),1)&gt;=AC$2,CEILING($F$1*IF($Y$21*$AD$21&gt;=$I$1,1,IF($Y$21*$AD$21&gt;=$H$1,0.5,IF($N$21=$C$1,0,1)))*(1+IF($N$21=$D$1,IF($Y$21*$AD$21&gt;=$K$1,0.4,IF($Y$21*$AD$21&gt;=$J$1,0.2,0)),0))*IF($N$21=$E$1,AC56/$F$1,$B25*$D25*$E25^(AC$2-1)),0.01),0)</f>
        <v>0</v>
      </c>
      <c r="AD25" s="39">
        <f>IF(CEILING(IF($N$21=$E$1,$E56,$B25*$D25/3),1)&gt;=AD$2,CEILING($F$1*IF($Y$21*$AD$21&gt;=$I$1,1,IF($Y$21*$AD$21&gt;=$H$1,0.5,IF($N$21=$C$1,0,1)))*(1+IF($N$21=$D$1,IF($Y$21*$AD$21&gt;=$K$1,0.4,IF($Y$21*$AD$21&gt;=$J$1,0.2,0)),0))*IF($N$21=$E$1,AD56/$F$1,$B25*$D25*$E25^(AD$2-1)),0.01),0)</f>
        <v>0</v>
      </c>
      <c r="AE25" s="39">
        <f>IF(CEILING(IF($N$21=$E$1,$E56,$B25*$D25/3),1)&gt;=AE$2,CEILING($F$1*IF($Y$21*$AD$21&gt;=$I$1,1,IF($Y$21*$AD$21&gt;=$H$1,0.5,IF($N$21=$C$1,0,1)))*(1+IF($N$21=$D$1,IF($Y$21*$AD$21&gt;=$K$1,0.4,IF($Y$21*$AD$21&gt;=$J$1,0.2,0)),0))*IF($N$21=$E$1,AE56/$F$1,$B25*$D25*$E25^(AE$2-1)),0.01),0)</f>
        <v>0</v>
      </c>
      <c r="AF25" s="39">
        <f>IF(CEILING(IF($N$21=$E$1,$E56,$B25*$D25/3),1)&gt;=AF$2,CEILING($F$1*IF($Y$21*$AD$21&gt;=$I$1,1,IF($Y$21*$AD$21&gt;=$H$1,0.5,IF($N$21=$C$1,0,1)))*(1+IF($N$21=$D$1,IF($Y$21*$AD$21&gt;=$K$1,0.4,IF($Y$21*$AD$21&gt;=$J$1,0.2,0)),0))*IF($N$21=$E$1,AF56/$F$1,$B25*$D25*$E25^(AF$2-1)),0.01),0)</f>
        <v>0</v>
      </c>
      <c r="AG25" s="39">
        <f>IF(CEILING(IF($N$21=$E$1,$E56,$B25*$D25/3),1)&gt;=AG$2,CEILING($F$1*IF($Y$21*$AD$21&gt;=$I$1,1,IF($Y$21*$AD$21&gt;=$H$1,0.5,IF($N$21=$C$1,0,1)))*(1+IF($N$21=$D$1,IF($Y$21*$AD$21&gt;=$K$1,0.4,IF($Y$21*$AD$21&gt;=$J$1,0.2,0)),0))*IF($N$21=$E$1,AG56/$F$1,$B25*$D25*$E25^(AG$2-1)),0.01),0)</f>
        <v>0</v>
      </c>
      <c r="AH25" s="39">
        <f>IF(CEILING(IF($N$21=$E$1,$E56,$B25*$D25/3),1)&gt;=AH$2,CEILING($F$1*IF($Y$21*$AD$21&gt;=$I$1,1,IF($Y$21*$AD$21&gt;=$H$1,0.5,IF($N$21=$C$1,0,1)))*(1+IF($N$21=$D$1,IF($Y$21*$AD$21&gt;=$K$1,0.4,IF($Y$21*$AD$21&gt;=$J$1,0.2,0)),0))*IF($N$21=$E$1,AH56/$F$1,$B25*$D25*$E25^(AH$2-1)),0.01),0)</f>
        <v>0</v>
      </c>
      <c r="AI25" s="40">
        <f>IF(CEILING(IF($N$21=$E$1,$E56,$B25*$D25/3),1)&gt;=AI$2,CEILING($F$1*IF($Y$21*$AD$21&gt;=$I$1,1,IF($Y$21*$AD$21&gt;=$H$1,0.5,IF($N$21=$C$1,0,1)))*(1+IF($N$21=$D$1,IF($Y$21*$AD$21&gt;=$K$1,0.4,IF($Y$21*$AD$21&gt;=$J$1,0.2,0)),0))*IF($N$21=$E$1,AI56/$F$1,$B25*$D25*$E25^(AI$2-1)),0.01),0)</f>
        <v>0</v>
      </c>
    </row>
    <row r="26" spans="1:35" x14ac:dyDescent="0.25">
      <c r="A26" s="59">
        <v>5</v>
      </c>
      <c r="B26" s="61">
        <v>0.8</v>
      </c>
      <c r="C26" s="17">
        <v>0</v>
      </c>
      <c r="D26" s="69">
        <f>CEILING(1+MIN(Y$21,T$21-C26-1)+MAX((T$21-C26-1-Y$21)/$M$1,0),1)</f>
        <v>20</v>
      </c>
      <c r="E26" s="65">
        <f>MAX(($G$1/($F$1*D26))^(1/(ROUNDUP(D26/3,)-1)),2/3)</f>
        <v>0.66666666666666663</v>
      </c>
      <c r="F26" s="39">
        <f>IF(CEILING(IF($N$21=$E$1,$E57,$B26*$D26/3),1)&gt;=F$2,CEILING($F$1*IF($Y$21*$AD$21&gt;=$I$1,1,IF($Y$21*$AD$21&gt;=$H$1,0.5,IF($N$21=$C$1,0,1)))*(1+IF($N$21=$D$1,IF($Y$21*$AD$21&gt;=$K$1,0.4,IF($Y$21*$AD$21&gt;=$J$1,0.2,0)),0))*IF($N$21=$E$1,F57/$F$1,$B26*$D26*$E26^(F$2-1)),0.01),0)</f>
        <v>1.6</v>
      </c>
      <c r="G26" s="39">
        <f>IF(CEILING(IF($N$21=$E$1,$E57,$B26*$D26/3),1)&gt;=G$2,CEILING($F$1*IF($Y$21*$AD$21&gt;=$I$1,1,IF($Y$21*$AD$21&gt;=$H$1,0.5,IF($N$21=$C$1,0,1)))*(1+IF($N$21=$D$1,IF($Y$21*$AD$21&gt;=$K$1,0.4,IF($Y$21*$AD$21&gt;=$J$1,0.2,0)),0))*IF($N$21=$E$1,G57/$F$1,$B26*$D26*$E26^(G$2-1)),0.01),0)</f>
        <v>1.07</v>
      </c>
      <c r="H26" s="39">
        <f>IF(CEILING(IF($N$21=$E$1,$E57,$B26*$D26/3),1)&gt;=H$2,CEILING($F$1*IF($Y$21*$AD$21&gt;=$I$1,1,IF($Y$21*$AD$21&gt;=$H$1,0.5,IF($N$21=$C$1,0,1)))*(1+IF($N$21=$D$1,IF($Y$21*$AD$21&gt;=$K$1,0.4,IF($Y$21*$AD$21&gt;=$J$1,0.2,0)),0))*IF($N$21=$E$1,H57/$F$1,$B26*$D26*$E26^(H$2-1)),0.01),0)</f>
        <v>0.72</v>
      </c>
      <c r="I26" s="39">
        <f>IF(CEILING(IF($N$21=$E$1,$E57,$B26*$D26/3),1)&gt;=I$2,CEILING($F$1*IF($Y$21*$AD$21&gt;=$I$1,1,IF($Y$21*$AD$21&gt;=$H$1,0.5,IF($N$21=$C$1,0,1)))*(1+IF($N$21=$D$1,IF($Y$21*$AD$21&gt;=$K$1,0.4,IF($Y$21*$AD$21&gt;=$J$1,0.2,0)),0))*IF($N$21=$E$1,I57/$F$1,$B26*$D26*$E26^(I$2-1)),0.01),0)</f>
        <v>0.48</v>
      </c>
      <c r="J26" s="39">
        <f>IF(CEILING(IF($N$21=$E$1,$E57,$B26*$D26/3),1)&gt;=J$2,CEILING($F$1*IF($Y$21*$AD$21&gt;=$I$1,1,IF($Y$21*$AD$21&gt;=$H$1,0.5,IF($N$21=$C$1,0,1)))*(1+IF($N$21=$D$1,IF($Y$21*$AD$21&gt;=$K$1,0.4,IF($Y$21*$AD$21&gt;=$J$1,0.2,0)),0))*IF($N$21=$E$1,J57/$F$1,$B26*$D26*$E26^(J$2-1)),0.01),0)</f>
        <v>0.32</v>
      </c>
      <c r="K26" s="39">
        <f>IF(CEILING(IF($N$21=$E$1,$E57,$B26*$D26/3),1)&gt;=K$2,CEILING($F$1*IF($Y$21*$AD$21&gt;=$I$1,1,IF($Y$21*$AD$21&gt;=$H$1,0.5,IF($N$21=$C$1,0,1)))*(1+IF($N$21=$D$1,IF($Y$21*$AD$21&gt;=$K$1,0.4,IF($Y$21*$AD$21&gt;=$J$1,0.2,0)),0))*IF($N$21=$E$1,K57/$F$1,$B26*$D26*$E26^(K$2-1)),0.01),0)</f>
        <v>0.22</v>
      </c>
      <c r="L26" s="39">
        <f>IF(CEILING(IF($N$21=$E$1,$E57,$B26*$D26/3),1)&gt;=L$2,CEILING($F$1*IF($Y$21*$AD$21&gt;=$I$1,1,IF($Y$21*$AD$21&gt;=$H$1,0.5,IF($N$21=$C$1,0,1)))*(1+IF($N$21=$D$1,IF($Y$21*$AD$21&gt;=$K$1,0.4,IF($Y$21*$AD$21&gt;=$J$1,0.2,0)),0))*IF($N$21=$E$1,L57/$F$1,$B26*$D26*$E26^(L$2-1)),0.01),0)</f>
        <v>0</v>
      </c>
      <c r="M26" s="39">
        <f>IF(CEILING(IF($N$21=$E$1,$E57,$B26*$D26/3),1)&gt;=M$2,CEILING($F$1*IF($Y$21*$AD$21&gt;=$I$1,1,IF($Y$21*$AD$21&gt;=$H$1,0.5,IF($N$21=$C$1,0,1)))*(1+IF($N$21=$D$1,IF($Y$21*$AD$21&gt;=$K$1,0.4,IF($Y$21*$AD$21&gt;=$J$1,0.2,0)),0))*IF($N$21=$E$1,M57/$F$1,$B26*$D26*$E26^(M$2-1)),0.01),0)</f>
        <v>0</v>
      </c>
      <c r="N26" s="39">
        <f>IF(CEILING(IF($N$21=$E$1,$E57,$B26*$D26/3),1)&gt;=N$2,CEILING($F$1*IF($Y$21*$AD$21&gt;=$I$1,1,IF($Y$21*$AD$21&gt;=$H$1,0.5,IF($N$21=$C$1,0,1)))*(1+IF($N$21=$D$1,IF($Y$21*$AD$21&gt;=$K$1,0.4,IF($Y$21*$AD$21&gt;=$J$1,0.2,0)),0))*IF($N$21=$E$1,N57/$F$1,$B26*$D26*$E26^(N$2-1)),0.01),0)</f>
        <v>0</v>
      </c>
      <c r="O26" s="39">
        <f>IF(CEILING(IF($N$21=$E$1,$E57,$B26*$D26/3),1)&gt;=O$2,CEILING($F$1*IF($Y$21*$AD$21&gt;=$I$1,1,IF($Y$21*$AD$21&gt;=$H$1,0.5,IF($N$21=$C$1,0,1)))*(1+IF($N$21=$D$1,IF($Y$21*$AD$21&gt;=$K$1,0.4,IF($Y$21*$AD$21&gt;=$J$1,0.2,0)),0))*IF($N$21=$E$1,O57/$F$1,$B26*$D26*$E26^(O$2-1)),0.01),0)</f>
        <v>0</v>
      </c>
      <c r="P26" s="39">
        <f>IF(CEILING(IF($N$21=$E$1,$E57,$B26*$D26/3),1)&gt;=P$2,CEILING($F$1*IF($Y$21*$AD$21&gt;=$I$1,1,IF($Y$21*$AD$21&gt;=$H$1,0.5,IF($N$21=$C$1,0,1)))*(1+IF($N$21=$D$1,IF($Y$21*$AD$21&gt;=$K$1,0.4,IF($Y$21*$AD$21&gt;=$J$1,0.2,0)),0))*IF($N$21=$E$1,P57/$F$1,$B26*$D26*$E26^(P$2-1)),0.01),0)</f>
        <v>0</v>
      </c>
      <c r="Q26" s="39">
        <f>IF(CEILING(IF($N$21=$E$1,$E57,$B26*$D26/3),1)&gt;=Q$2,CEILING($F$1*IF($Y$21*$AD$21&gt;=$I$1,1,IF($Y$21*$AD$21&gt;=$H$1,0.5,IF($N$21=$C$1,0,1)))*(1+IF($N$21=$D$1,IF($Y$21*$AD$21&gt;=$K$1,0.4,IF($Y$21*$AD$21&gt;=$J$1,0.2,0)),0))*IF($N$21=$E$1,Q57/$F$1,$B26*$D26*$E26^(Q$2-1)),0.01),0)</f>
        <v>0</v>
      </c>
      <c r="R26" s="39">
        <f>IF(CEILING(IF($N$21=$E$1,$E57,$B26*$D26/3),1)&gt;=R$2,CEILING($F$1*IF($Y$21*$AD$21&gt;=$I$1,1,IF($Y$21*$AD$21&gt;=$H$1,0.5,IF($N$21=$C$1,0,1)))*(1+IF($N$21=$D$1,IF($Y$21*$AD$21&gt;=$K$1,0.4,IF($Y$21*$AD$21&gt;=$J$1,0.2,0)),0))*IF($N$21=$E$1,R57/$F$1,$B26*$D26*$E26^(R$2-1)),0.01),0)</f>
        <v>0</v>
      </c>
      <c r="S26" s="39">
        <f>IF(CEILING(IF($N$21=$E$1,$E57,$B26*$D26/3),1)&gt;=S$2,CEILING($F$1*IF($Y$21*$AD$21&gt;=$I$1,1,IF($Y$21*$AD$21&gt;=$H$1,0.5,IF($N$21=$C$1,0,1)))*(1+IF($N$21=$D$1,IF($Y$21*$AD$21&gt;=$K$1,0.4,IF($Y$21*$AD$21&gt;=$J$1,0.2,0)),0))*IF($N$21=$E$1,S57/$F$1,$B26*$D26*$E26^(S$2-1)),0.01),0)</f>
        <v>0</v>
      </c>
      <c r="T26" s="39">
        <f>IF(CEILING(IF($N$21=$E$1,$E57,$B26*$D26/3),1)&gt;=T$2,CEILING($F$1*IF($Y$21*$AD$21&gt;=$I$1,1,IF($Y$21*$AD$21&gt;=$H$1,0.5,IF($N$21=$C$1,0,1)))*(1+IF($N$21=$D$1,IF($Y$21*$AD$21&gt;=$K$1,0.4,IF($Y$21*$AD$21&gt;=$J$1,0.2,0)),0))*IF($N$21=$E$1,T57/$F$1,$B26*$D26*$E26^(T$2-1)),0.01),0)</f>
        <v>0</v>
      </c>
      <c r="U26" s="39">
        <f>IF(CEILING(IF($N$21=$E$1,$E57,$B26*$D26/3),1)&gt;=U$2,CEILING($F$1*IF($Y$21*$AD$21&gt;=$I$1,1,IF($Y$21*$AD$21&gt;=$H$1,0.5,IF($N$21=$C$1,0,1)))*(1+IF($N$21=$D$1,IF($Y$21*$AD$21&gt;=$K$1,0.4,IF($Y$21*$AD$21&gt;=$J$1,0.2,0)),0))*IF($N$21=$E$1,U57/$F$1,$B26*$D26*$E26^(U$2-1)),0.01),0)</f>
        <v>0</v>
      </c>
      <c r="V26" s="39">
        <f>IF(CEILING(IF($N$21=$E$1,$E57,$B26*$D26/3),1)&gt;=V$2,CEILING($F$1*IF($Y$21*$AD$21&gt;=$I$1,1,IF($Y$21*$AD$21&gt;=$H$1,0.5,IF($N$21=$C$1,0,1)))*(1+IF($N$21=$D$1,IF($Y$21*$AD$21&gt;=$K$1,0.4,IF($Y$21*$AD$21&gt;=$J$1,0.2,0)),0))*IF($N$21=$E$1,V57/$F$1,$B26*$D26*$E26^(V$2-1)),0.01),0)</f>
        <v>0</v>
      </c>
      <c r="W26" s="39">
        <f>IF(CEILING(IF($N$21=$E$1,$E57,$B26*$D26/3),1)&gt;=W$2,CEILING($F$1*IF($Y$21*$AD$21&gt;=$I$1,1,IF($Y$21*$AD$21&gt;=$H$1,0.5,IF($N$21=$C$1,0,1)))*(1+IF($N$21=$D$1,IF($Y$21*$AD$21&gt;=$K$1,0.4,IF($Y$21*$AD$21&gt;=$J$1,0.2,0)),0))*IF($N$21=$E$1,W57/$F$1,$B26*$D26*$E26^(W$2-1)),0.01),0)</f>
        <v>0</v>
      </c>
      <c r="X26" s="39">
        <f>IF(CEILING(IF($N$21=$E$1,$E57,$B26*$D26/3),1)&gt;=X$2,CEILING($F$1*IF($Y$21*$AD$21&gt;=$I$1,1,IF($Y$21*$AD$21&gt;=$H$1,0.5,IF($N$21=$C$1,0,1)))*(1+IF($N$21=$D$1,IF($Y$21*$AD$21&gt;=$K$1,0.4,IF($Y$21*$AD$21&gt;=$J$1,0.2,0)),0))*IF($N$21=$E$1,X57/$F$1,$B26*$D26*$E26^(X$2-1)),0.01),0)</f>
        <v>0</v>
      </c>
      <c r="Y26" s="39">
        <f>IF(CEILING(IF($N$21=$E$1,$E57,$B26*$D26/3),1)&gt;=Y$2,CEILING($F$1*IF($Y$21*$AD$21&gt;=$I$1,1,IF($Y$21*$AD$21&gt;=$H$1,0.5,IF($N$21=$C$1,0,1)))*(1+IF($N$21=$D$1,IF($Y$21*$AD$21&gt;=$K$1,0.4,IF($Y$21*$AD$21&gt;=$J$1,0.2,0)),0))*IF($N$21=$E$1,Y57/$F$1,$B26*$D26*$E26^(Y$2-1)),0.01),0)</f>
        <v>0</v>
      </c>
      <c r="Z26" s="39">
        <f>IF(CEILING(IF($N$21=$E$1,$E57,$B26*$D26/3),1)&gt;=Z$2,CEILING($F$1*IF($Y$21*$AD$21&gt;=$I$1,1,IF($Y$21*$AD$21&gt;=$H$1,0.5,IF($N$21=$C$1,0,1)))*(1+IF($N$21=$D$1,IF($Y$21*$AD$21&gt;=$K$1,0.4,IF($Y$21*$AD$21&gt;=$J$1,0.2,0)),0))*IF($N$21=$E$1,Z57/$F$1,$B26*$D26*$E26^(Z$2-1)),0.01),0)</f>
        <v>0</v>
      </c>
      <c r="AA26" s="39">
        <f>IF(CEILING(IF($N$21=$E$1,$E57,$B26*$D26/3),1)&gt;=AA$2,CEILING($F$1*IF($Y$21*$AD$21&gt;=$I$1,1,IF($Y$21*$AD$21&gt;=$H$1,0.5,IF($N$21=$C$1,0,1)))*(1+IF($N$21=$D$1,IF($Y$21*$AD$21&gt;=$K$1,0.4,IF($Y$21*$AD$21&gt;=$J$1,0.2,0)),0))*IF($N$21=$E$1,AA57/$F$1,$B26*$D26*$E26^(AA$2-1)),0.01),0)</f>
        <v>0</v>
      </c>
      <c r="AB26" s="39">
        <f>IF(CEILING(IF($N$21=$E$1,$E57,$B26*$D26/3),1)&gt;=AB$2,CEILING($F$1*IF($Y$21*$AD$21&gt;=$I$1,1,IF($Y$21*$AD$21&gt;=$H$1,0.5,IF($N$21=$C$1,0,1)))*(1+IF($N$21=$D$1,IF($Y$21*$AD$21&gt;=$K$1,0.4,IF($Y$21*$AD$21&gt;=$J$1,0.2,0)),0))*IF($N$21=$E$1,AB57/$F$1,$B26*$D26*$E26^(AB$2-1)),0.01),0)</f>
        <v>0</v>
      </c>
      <c r="AC26" s="39">
        <f>IF(CEILING(IF($N$21=$E$1,$E57,$B26*$D26/3),1)&gt;=AC$2,CEILING($F$1*IF($Y$21*$AD$21&gt;=$I$1,1,IF($Y$21*$AD$21&gt;=$H$1,0.5,IF($N$21=$C$1,0,1)))*(1+IF($N$21=$D$1,IF($Y$21*$AD$21&gt;=$K$1,0.4,IF($Y$21*$AD$21&gt;=$J$1,0.2,0)),0))*IF($N$21=$E$1,AC57/$F$1,$B26*$D26*$E26^(AC$2-1)),0.01),0)</f>
        <v>0</v>
      </c>
      <c r="AD26" s="39">
        <f>IF(CEILING(IF($N$21=$E$1,$E57,$B26*$D26/3),1)&gt;=AD$2,CEILING($F$1*IF($Y$21*$AD$21&gt;=$I$1,1,IF($Y$21*$AD$21&gt;=$H$1,0.5,IF($N$21=$C$1,0,1)))*(1+IF($N$21=$D$1,IF($Y$21*$AD$21&gt;=$K$1,0.4,IF($Y$21*$AD$21&gt;=$J$1,0.2,0)),0))*IF($N$21=$E$1,AD57/$F$1,$B26*$D26*$E26^(AD$2-1)),0.01),0)</f>
        <v>0</v>
      </c>
      <c r="AE26" s="39">
        <f>IF(CEILING(IF($N$21=$E$1,$E57,$B26*$D26/3),1)&gt;=AE$2,CEILING($F$1*IF($Y$21*$AD$21&gt;=$I$1,1,IF($Y$21*$AD$21&gt;=$H$1,0.5,IF($N$21=$C$1,0,1)))*(1+IF($N$21=$D$1,IF($Y$21*$AD$21&gt;=$K$1,0.4,IF($Y$21*$AD$21&gt;=$J$1,0.2,0)),0))*IF($N$21=$E$1,AE57/$F$1,$B26*$D26*$E26^(AE$2-1)),0.01),0)</f>
        <v>0</v>
      </c>
      <c r="AF26" s="39">
        <f>IF(CEILING(IF($N$21=$E$1,$E57,$B26*$D26/3),1)&gt;=AF$2,CEILING($F$1*IF($Y$21*$AD$21&gt;=$I$1,1,IF($Y$21*$AD$21&gt;=$H$1,0.5,IF($N$21=$C$1,0,1)))*(1+IF($N$21=$D$1,IF($Y$21*$AD$21&gt;=$K$1,0.4,IF($Y$21*$AD$21&gt;=$J$1,0.2,0)),0))*IF($N$21=$E$1,AF57/$F$1,$B26*$D26*$E26^(AF$2-1)),0.01),0)</f>
        <v>0</v>
      </c>
      <c r="AG26" s="39">
        <f>IF(CEILING(IF($N$21=$E$1,$E57,$B26*$D26/3),1)&gt;=AG$2,CEILING($F$1*IF($Y$21*$AD$21&gt;=$I$1,1,IF($Y$21*$AD$21&gt;=$H$1,0.5,IF($N$21=$C$1,0,1)))*(1+IF($N$21=$D$1,IF($Y$21*$AD$21&gt;=$K$1,0.4,IF($Y$21*$AD$21&gt;=$J$1,0.2,0)),0))*IF($N$21=$E$1,AG57/$F$1,$B26*$D26*$E26^(AG$2-1)),0.01),0)</f>
        <v>0</v>
      </c>
      <c r="AH26" s="39">
        <f>IF(CEILING(IF($N$21=$E$1,$E57,$B26*$D26/3),1)&gt;=AH$2,CEILING($F$1*IF($Y$21*$AD$21&gt;=$I$1,1,IF($Y$21*$AD$21&gt;=$H$1,0.5,IF($N$21=$C$1,0,1)))*(1+IF($N$21=$D$1,IF($Y$21*$AD$21&gt;=$K$1,0.4,IF($Y$21*$AD$21&gt;=$J$1,0.2,0)),0))*IF($N$21=$E$1,AH57/$F$1,$B26*$D26*$E26^(AH$2-1)),0.01),0)</f>
        <v>0</v>
      </c>
      <c r="AI26" s="40">
        <f>IF(CEILING(IF($N$21=$E$1,$E57,$B26*$D26/3),1)&gt;=AI$2,CEILING($F$1*IF($Y$21*$AD$21&gt;=$I$1,1,IF($Y$21*$AD$21&gt;=$H$1,0.5,IF($N$21=$C$1,0,1)))*(1+IF($N$21=$D$1,IF($Y$21*$AD$21&gt;=$K$1,0.4,IF($Y$21*$AD$21&gt;=$J$1,0.2,0)),0))*IF($N$21=$E$1,AI57/$F$1,$B26*$D26*$E26^(AI$2-1)),0.01),0)</f>
        <v>0</v>
      </c>
    </row>
    <row r="27" spans="1:35" x14ac:dyDescent="0.25">
      <c r="A27" s="12"/>
      <c r="B27" s="9"/>
      <c r="C27" s="9"/>
      <c r="D27" s="9"/>
      <c r="E27" s="9"/>
      <c r="F27" s="44"/>
      <c r="G27" s="44"/>
      <c r="H27" s="44"/>
      <c r="I27" s="44"/>
      <c r="J27" s="45"/>
      <c r="K27" s="45"/>
      <c r="L27" s="45"/>
      <c r="M27" s="45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6"/>
    </row>
    <row r="28" spans="1:35" x14ac:dyDescent="0.25">
      <c r="A28" s="96" t="s">
        <v>14</v>
      </c>
    </row>
    <row r="29" spans="1:35" x14ac:dyDescent="0.25">
      <c r="C29" s="119" t="s">
        <v>15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96"/>
    </row>
    <row r="30" spans="1:35" x14ac:dyDescent="0.25">
      <c r="C30" s="104" t="s">
        <v>16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96"/>
    </row>
    <row r="31" spans="1:35" x14ac:dyDescent="0.25">
      <c r="C31" s="104" t="s">
        <v>17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96"/>
    </row>
    <row r="32" spans="1:35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34" spans="2:42" x14ac:dyDescent="0.25">
      <c r="E34" s="21">
        <v>6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01"/>
      <c r="R34" s="101"/>
    </row>
    <row r="35" spans="2:42" x14ac:dyDescent="0.25">
      <c r="C35" s="96"/>
      <c r="D35" s="96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</row>
    <row r="36" spans="2:42" x14ac:dyDescent="0.25"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</row>
    <row r="37" spans="2:42" x14ac:dyDescent="0.25">
      <c r="E37" s="53">
        <v>11</v>
      </c>
      <c r="F37" s="53">
        <v>12</v>
      </c>
      <c r="G37" s="53">
        <v>10</v>
      </c>
      <c r="H37" s="53">
        <v>9</v>
      </c>
      <c r="I37" s="53">
        <v>8</v>
      </c>
      <c r="J37" s="53">
        <v>7</v>
      </c>
      <c r="K37" s="53">
        <v>6</v>
      </c>
      <c r="L37" s="53">
        <v>5</v>
      </c>
      <c r="M37" s="53">
        <v>4</v>
      </c>
      <c r="N37" s="53">
        <v>3</v>
      </c>
      <c r="O37" s="53">
        <v>2</v>
      </c>
      <c r="P37" s="53">
        <v>1</v>
      </c>
      <c r="Q37" s="102"/>
      <c r="R37" s="102"/>
      <c r="S37" s="100"/>
      <c r="T37" s="100"/>
      <c r="U37" s="100"/>
      <c r="V37" s="100"/>
      <c r="W37" s="100"/>
      <c r="X37" s="100"/>
      <c r="Y37" s="100"/>
      <c r="AC37" s="96"/>
    </row>
    <row r="38" spans="2:42" x14ac:dyDescent="0.25">
      <c r="E38" s="53">
        <v>11</v>
      </c>
      <c r="F38" s="53">
        <v>12</v>
      </c>
      <c r="G38" s="53">
        <v>10</v>
      </c>
      <c r="H38" s="53">
        <v>9</v>
      </c>
      <c r="I38" s="53">
        <v>8</v>
      </c>
      <c r="J38" s="53">
        <v>7</v>
      </c>
      <c r="K38" s="53">
        <v>6</v>
      </c>
      <c r="L38" s="53">
        <v>5</v>
      </c>
      <c r="M38" s="53">
        <v>4</v>
      </c>
      <c r="N38" s="53">
        <v>3</v>
      </c>
      <c r="O38" s="53">
        <v>2</v>
      </c>
      <c r="P38" s="53">
        <v>1</v>
      </c>
      <c r="Q38" s="102"/>
      <c r="R38" s="102"/>
      <c r="S38" s="100"/>
      <c r="T38" s="100"/>
      <c r="U38" s="100"/>
      <c r="V38" s="100"/>
      <c r="W38" s="100"/>
      <c r="X38" s="100"/>
      <c r="Y38" s="100"/>
      <c r="AC38" s="96"/>
    </row>
    <row r="39" spans="2:42" x14ac:dyDescent="0.25"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102"/>
      <c r="S39" s="100"/>
      <c r="T39" s="100"/>
      <c r="U39" s="100"/>
      <c r="V39" s="100"/>
      <c r="W39" s="100"/>
      <c r="X39" s="100"/>
      <c r="Y39" s="100"/>
      <c r="AC39" s="96"/>
    </row>
    <row r="40" spans="2:42" x14ac:dyDescent="0.25"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102"/>
      <c r="Q40" s="102"/>
      <c r="R40" s="102"/>
      <c r="S40" s="100"/>
      <c r="T40" s="100"/>
      <c r="U40" s="100"/>
      <c r="V40" s="100"/>
      <c r="W40" s="100"/>
      <c r="X40" s="100"/>
      <c r="Y40" s="100"/>
      <c r="AC40" s="96"/>
    </row>
    <row r="41" spans="2:42" x14ac:dyDescent="0.25">
      <c r="E41" s="53">
        <v>12</v>
      </c>
      <c r="F41" s="53">
        <v>24</v>
      </c>
      <c r="G41" s="53">
        <v>18</v>
      </c>
      <c r="H41" s="53">
        <v>12</v>
      </c>
      <c r="I41" s="53">
        <v>10</v>
      </c>
      <c r="J41" s="53">
        <v>8</v>
      </c>
      <c r="K41" s="53">
        <v>7</v>
      </c>
      <c r="L41" s="53">
        <v>6</v>
      </c>
      <c r="M41" s="53">
        <v>5</v>
      </c>
      <c r="N41" s="53">
        <v>4</v>
      </c>
      <c r="O41" s="53">
        <v>3</v>
      </c>
      <c r="P41" s="53">
        <v>2</v>
      </c>
      <c r="Q41" s="53">
        <v>1</v>
      </c>
      <c r="R41" s="53"/>
      <c r="S41" s="100"/>
      <c r="T41" s="100"/>
      <c r="U41" s="100"/>
      <c r="V41" s="100"/>
      <c r="W41" s="100"/>
      <c r="X41" s="100"/>
      <c r="Y41" s="100"/>
      <c r="AC41" s="96"/>
    </row>
    <row r="42" spans="2:42" x14ac:dyDescent="0.25">
      <c r="E42" s="53">
        <v>10</v>
      </c>
      <c r="F42" s="53">
        <v>4</v>
      </c>
      <c r="G42" s="53">
        <v>3</v>
      </c>
      <c r="H42" s="53">
        <v>3</v>
      </c>
      <c r="I42" s="53">
        <v>2</v>
      </c>
      <c r="J42" s="53">
        <v>2</v>
      </c>
      <c r="K42" s="53">
        <v>2</v>
      </c>
      <c r="L42" s="53">
        <v>1</v>
      </c>
      <c r="M42" s="53">
        <v>1</v>
      </c>
      <c r="N42" s="53">
        <v>1</v>
      </c>
      <c r="O42" s="53">
        <v>1</v>
      </c>
      <c r="P42" s="53"/>
      <c r="Q42" s="53"/>
      <c r="R42" s="53"/>
      <c r="S42" s="100"/>
      <c r="T42" s="100"/>
      <c r="U42" s="100"/>
      <c r="V42" s="100"/>
      <c r="W42" s="100"/>
      <c r="X42" s="100"/>
      <c r="Y42" s="100"/>
      <c r="AC42" s="96"/>
    </row>
    <row r="43" spans="2:42" x14ac:dyDescent="0.25"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100"/>
      <c r="T43" s="100"/>
      <c r="U43" s="100"/>
      <c r="V43" s="100"/>
      <c r="W43" s="100"/>
      <c r="X43" s="100"/>
      <c r="Y43" s="100"/>
      <c r="AC43" s="96"/>
    </row>
    <row r="44" spans="2:42" x14ac:dyDescent="0.25">
      <c r="B44" s="1"/>
      <c r="C44" s="95"/>
      <c r="D44" s="96"/>
      <c r="E44" s="2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</row>
    <row r="45" spans="2:42" x14ac:dyDescent="0.25">
      <c r="B45" s="1"/>
      <c r="C45" s="95"/>
      <c r="D45" s="96"/>
      <c r="E45" s="2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</row>
    <row r="46" spans="2:42" x14ac:dyDescent="0.25">
      <c r="B46" s="1"/>
      <c r="C46" s="95"/>
      <c r="D46" s="96"/>
      <c r="E46" s="21">
        <v>13</v>
      </c>
      <c r="F46" s="53">
        <v>48</v>
      </c>
      <c r="G46" s="53">
        <v>36</v>
      </c>
      <c r="H46" s="53">
        <v>24</v>
      </c>
      <c r="I46" s="53">
        <v>19</v>
      </c>
      <c r="J46" s="53">
        <v>16</v>
      </c>
      <c r="K46" s="53">
        <v>13</v>
      </c>
      <c r="L46" s="53">
        <v>11</v>
      </c>
      <c r="M46" s="53">
        <v>9</v>
      </c>
      <c r="N46" s="53">
        <v>7</v>
      </c>
      <c r="O46" s="53">
        <v>5</v>
      </c>
      <c r="P46" s="53">
        <v>3</v>
      </c>
      <c r="Q46" s="53">
        <v>2</v>
      </c>
      <c r="R46" s="53">
        <v>1</v>
      </c>
    </row>
    <row r="47" spans="2:42" x14ac:dyDescent="0.25">
      <c r="E47" s="21">
        <v>10</v>
      </c>
      <c r="F47" s="53">
        <v>8</v>
      </c>
      <c r="G47" s="53">
        <v>6</v>
      </c>
      <c r="H47" s="53">
        <v>5</v>
      </c>
      <c r="I47" s="53">
        <v>4</v>
      </c>
      <c r="J47" s="53">
        <v>3</v>
      </c>
      <c r="K47" s="53">
        <v>2</v>
      </c>
      <c r="L47" s="53">
        <v>2</v>
      </c>
      <c r="M47" s="53">
        <v>1</v>
      </c>
      <c r="N47" s="53">
        <v>1</v>
      </c>
      <c r="O47" s="53">
        <v>1</v>
      </c>
      <c r="P47" s="101"/>
      <c r="Q47" s="101"/>
      <c r="R47" s="101"/>
    </row>
    <row r="51" spans="1:35" x14ac:dyDescent="0.25"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</row>
    <row r="52" spans="1:35" x14ac:dyDescent="0.25"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</row>
    <row r="62" spans="1:35" x14ac:dyDescent="0.25">
      <c r="A62" s="1"/>
      <c r="B62" s="1"/>
      <c r="D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</row>
    <row r="63" spans="1:35" x14ac:dyDescent="0.25">
      <c r="C63" s="2"/>
      <c r="D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</row>
    <row r="64" spans="1:35" x14ac:dyDescent="0.25"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</row>
    <row r="65" spans="3:3" s="96" customFormat="1" x14ac:dyDescent="0.25">
      <c r="C65" s="1"/>
    </row>
    <row r="66" spans="3:3" s="96" customFormat="1" x14ac:dyDescent="0.25">
      <c r="C66" s="1"/>
    </row>
  </sheetData>
  <sheetProtection password="C4EE" sheet="1" objects="1" scenarios="1"/>
  <mergeCells count="47">
    <mergeCell ref="AE13:AI13"/>
    <mergeCell ref="AE16:AI16"/>
    <mergeCell ref="AE17:AI17"/>
    <mergeCell ref="AE18:AI18"/>
    <mergeCell ref="AE19:AI19"/>
    <mergeCell ref="N1:W1"/>
    <mergeCell ref="AE7:AI7"/>
    <mergeCell ref="AE8:AI8"/>
    <mergeCell ref="AE11:AI11"/>
    <mergeCell ref="AE12:AI12"/>
    <mergeCell ref="C29:AH29"/>
    <mergeCell ref="C30:AH30"/>
    <mergeCell ref="C31:AH31"/>
    <mergeCell ref="F21:H21"/>
    <mergeCell ref="J21:M21"/>
    <mergeCell ref="N21:O21"/>
    <mergeCell ref="P21:S21"/>
    <mergeCell ref="U21:X21"/>
    <mergeCell ref="Z21:AC21"/>
    <mergeCell ref="Z15:AC15"/>
    <mergeCell ref="U3:X3"/>
    <mergeCell ref="F10:H10"/>
    <mergeCell ref="J10:M10"/>
    <mergeCell ref="N10:O10"/>
    <mergeCell ref="P10:S10"/>
    <mergeCell ref="U10:X10"/>
    <mergeCell ref="F15:H15"/>
    <mergeCell ref="J15:M15"/>
    <mergeCell ref="N15:O15"/>
    <mergeCell ref="P15:S15"/>
    <mergeCell ref="U15:X15"/>
    <mergeCell ref="C32:AH32"/>
    <mergeCell ref="A2:B2"/>
    <mergeCell ref="A3:B3"/>
    <mergeCell ref="C2:D2"/>
    <mergeCell ref="F3:H3"/>
    <mergeCell ref="J3:M3"/>
    <mergeCell ref="N3:O3"/>
    <mergeCell ref="P3:S3"/>
    <mergeCell ref="Z10:AC10"/>
    <mergeCell ref="Z3:AC3"/>
    <mergeCell ref="F6:H6"/>
    <mergeCell ref="J6:M6"/>
    <mergeCell ref="N6:O6"/>
    <mergeCell ref="P6:S6"/>
    <mergeCell ref="U6:X6"/>
    <mergeCell ref="Z6:AC6"/>
  </mergeCells>
  <conditionalFormatting sqref="F4:AI4">
    <cfRule type="cellIs" dxfId="34" priority="5" operator="equal">
      <formula>0</formula>
    </cfRule>
  </conditionalFormatting>
  <conditionalFormatting sqref="F7:AI8">
    <cfRule type="cellIs" dxfId="33" priority="4" operator="equal">
      <formula>0</formula>
    </cfRule>
  </conditionalFormatting>
  <conditionalFormatting sqref="F11:AI13">
    <cfRule type="cellIs" dxfId="32" priority="3" operator="equal">
      <formula>0</formula>
    </cfRule>
  </conditionalFormatting>
  <conditionalFormatting sqref="F16:AI19">
    <cfRule type="cellIs" dxfId="31" priority="2" operator="equal">
      <formula>0</formula>
    </cfRule>
  </conditionalFormatting>
  <conditionalFormatting sqref="F22:AI26">
    <cfRule type="cellIs" dxfId="30" priority="1" operator="equal">
      <formula>0</formula>
    </cfRule>
  </conditionalFormatting>
  <dataValidations count="7">
    <dataValidation type="whole" operator="greaterThan" allowBlank="1" showInputMessage="1" showErrorMessage="1" errorTitle="Fejl" error="Kun postive heltal" sqref="AD21 AD15 AD10 AD6 AD3 Y21 Y15 Y10 Y6 Y3">
      <formula1>0</formula1>
    </dataValidation>
    <dataValidation allowBlank="1" showInputMessage="1" showErrorMessage="1" promptTitle="Q-værdi" prompt="Andelen af MP for den næste af to placeringer." sqref="E4 E7:E8 E11:E13 E16:E19 E22:E26"/>
    <dataValidation allowBlank="1" showInputMessage="1" showErrorMessage="1" promptTitle="&quot;dnul&quot;" prompt="Det beregnede antal deltagere" sqref="D4 D7:D8 D11:D13 D16:D19 D22:D26"/>
    <dataValidation type="whole" operator="greaterThanOrEqual" allowBlank="1" showInputMessage="1" showErrorMessage="1" errorTitle="Fejl" error="Kun postive heltal" promptTitle="Minimum" prompt="Mindst 4 deltagere" sqref="T3 T6 T10 T15 T21">
      <formula1>4</formula1>
    </dataValidation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type="list" showInputMessage="1" showErrorMessage="1" errorTitle="Arrangør" error="Enten Klub eller Distrikt" promptTitle="Arrangør" prompt="Kun klubber  (ikke DBf selv) skal spille mindst 54 spil." sqref="N21:O21 N3:O3">
      <formula1>$C$1:$D$1</formula1>
    </dataValidation>
    <dataValidation type="list" showInputMessage="1" showErrorMessage="1" errorTitle="Arrangør" error="Enten Klub eller Distrikt" promptTitle="Arrangør" prompt="Kun klubber  (ikke DBf selv) skal spille mindst 54 spil." sqref="N15:O15 N6:O6 N10:O10">
      <formula1>$C$1:$E$1</formula1>
    </dataValidation>
  </dataValidations>
  <printOptions horizontalCentered="1"/>
  <pageMargins left="0.31496062992125984" right="0.23622047244094491" top="1.7322834645669292" bottom="0.74803149606299213" header="0.31496062992125984" footer="0.31496062992125984"/>
  <pageSetup paperSize="9" scale="86" orientation="landscape" horizontalDpi="4294967295" verticalDpi="4294967295" r:id="rId1"/>
  <headerFooter>
    <oddHeader>&amp;L&amp;G&amp;C&amp;20Guldpoint i parturneringer&amp;RVersion 1.0</oddHeader>
    <oddFooter>&amp;CUdskrevet: &amp;D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zoomScaleNormal="100" workbookViewId="0">
      <selection activeCell="F22" sqref="F22"/>
    </sheetView>
  </sheetViews>
  <sheetFormatPr defaultRowHeight="15" x14ac:dyDescent="0.25"/>
  <cols>
    <col min="1" max="1" width="2.28515625" style="14" customWidth="1"/>
    <col min="2" max="2" width="5.28515625" style="57" customWidth="1"/>
    <col min="3" max="3" width="5.7109375" style="1" customWidth="1"/>
    <col min="4" max="4" width="4.7109375" style="13" customWidth="1"/>
    <col min="5" max="5" width="9.140625" style="14" customWidth="1"/>
    <col min="6" max="7" width="5.7109375" style="14" customWidth="1"/>
    <col min="8" max="13" width="4.7109375" style="14" customWidth="1"/>
    <col min="14" max="35" width="4.28515625" style="14" customWidth="1"/>
    <col min="36" max="16384" width="9.140625" style="14"/>
  </cols>
  <sheetData>
    <row r="1" spans="1:35" x14ac:dyDescent="0.25">
      <c r="A1" s="20">
        <v>0</v>
      </c>
      <c r="B1" s="20">
        <v>1</v>
      </c>
      <c r="C1" s="18" t="s">
        <v>5</v>
      </c>
      <c r="D1" s="19" t="s">
        <v>27</v>
      </c>
      <c r="E1" s="21" t="s">
        <v>23</v>
      </c>
      <c r="F1" s="18">
        <v>3</v>
      </c>
      <c r="G1" s="20">
        <v>1</v>
      </c>
      <c r="H1" s="21">
        <v>12</v>
      </c>
      <c r="I1" s="21">
        <v>18</v>
      </c>
      <c r="J1" s="21">
        <v>100</v>
      </c>
      <c r="K1" s="21">
        <v>150</v>
      </c>
      <c r="L1" s="21">
        <v>39</v>
      </c>
      <c r="M1" s="21">
        <v>5</v>
      </c>
      <c r="N1" s="109" t="s">
        <v>31</v>
      </c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35" x14ac:dyDescent="0.25">
      <c r="A2" s="105" t="s">
        <v>8</v>
      </c>
      <c r="B2" s="106"/>
      <c r="C2" s="110" t="s">
        <v>9</v>
      </c>
      <c r="D2" s="111"/>
      <c r="E2" s="22" t="s">
        <v>13</v>
      </c>
      <c r="F2" s="23">
        <v>1</v>
      </c>
      <c r="G2" s="23">
        <v>2</v>
      </c>
      <c r="H2" s="23">
        <v>3</v>
      </c>
      <c r="I2" s="23">
        <v>4</v>
      </c>
      <c r="J2" s="23">
        <v>5</v>
      </c>
      <c r="K2" s="23">
        <v>6</v>
      </c>
      <c r="L2" s="23">
        <v>7</v>
      </c>
      <c r="M2" s="23">
        <v>8</v>
      </c>
      <c r="N2" s="23">
        <v>9</v>
      </c>
      <c r="O2" s="23">
        <v>10</v>
      </c>
      <c r="P2" s="23">
        <v>11</v>
      </c>
      <c r="Q2" s="23">
        <v>12</v>
      </c>
      <c r="R2" s="23">
        <v>13</v>
      </c>
      <c r="S2" s="23">
        <v>14</v>
      </c>
      <c r="T2" s="23">
        <v>15</v>
      </c>
      <c r="U2" s="23">
        <v>16</v>
      </c>
      <c r="V2" s="23">
        <v>17</v>
      </c>
      <c r="W2" s="23">
        <v>18</v>
      </c>
      <c r="X2" s="23">
        <v>19</v>
      </c>
      <c r="Y2" s="23">
        <v>20</v>
      </c>
      <c r="Z2" s="23">
        <v>21</v>
      </c>
      <c r="AA2" s="23">
        <v>22</v>
      </c>
      <c r="AB2" s="23">
        <v>23</v>
      </c>
      <c r="AC2" s="23">
        <v>24</v>
      </c>
      <c r="AD2" s="23">
        <v>25</v>
      </c>
      <c r="AE2" s="23">
        <v>26</v>
      </c>
      <c r="AF2" s="23">
        <v>27</v>
      </c>
      <c r="AG2" s="23">
        <v>28</v>
      </c>
      <c r="AH2" s="23">
        <v>29</v>
      </c>
      <c r="AI2" s="24">
        <v>30</v>
      </c>
    </row>
    <row r="3" spans="1:35" x14ac:dyDescent="0.25">
      <c r="A3" s="107" t="s">
        <v>7</v>
      </c>
      <c r="B3" s="108"/>
      <c r="C3" s="5" t="s">
        <v>10</v>
      </c>
      <c r="D3" s="66" t="s">
        <v>33</v>
      </c>
      <c r="E3" s="62" t="s">
        <v>12</v>
      </c>
      <c r="F3" s="112" t="s">
        <v>11</v>
      </c>
      <c r="G3" s="112"/>
      <c r="H3" s="112"/>
      <c r="I3" s="25">
        <v>1</v>
      </c>
      <c r="J3" s="113" t="s">
        <v>3</v>
      </c>
      <c r="K3" s="113"/>
      <c r="L3" s="113"/>
      <c r="M3" s="113"/>
      <c r="N3" s="118" t="s">
        <v>5</v>
      </c>
      <c r="O3" s="118"/>
      <c r="P3" s="115" t="s">
        <v>1</v>
      </c>
      <c r="Q3" s="115"/>
      <c r="R3" s="115"/>
      <c r="S3" s="115"/>
      <c r="T3" s="15">
        <v>10</v>
      </c>
      <c r="U3" s="116" t="s">
        <v>2</v>
      </c>
      <c r="V3" s="116"/>
      <c r="W3" s="116"/>
      <c r="X3" s="116"/>
      <c r="Y3" s="15">
        <v>9</v>
      </c>
      <c r="Z3" s="116" t="s">
        <v>4</v>
      </c>
      <c r="AA3" s="116"/>
      <c r="AB3" s="116"/>
      <c r="AC3" s="116"/>
      <c r="AD3" s="15">
        <v>3</v>
      </c>
      <c r="AE3" s="26"/>
      <c r="AF3" s="26"/>
      <c r="AG3" s="26"/>
      <c r="AH3" s="26"/>
      <c r="AI3" s="27"/>
    </row>
    <row r="4" spans="1:35" x14ac:dyDescent="0.25">
      <c r="A4" s="58">
        <v>1</v>
      </c>
      <c r="B4" s="60">
        <v>1</v>
      </c>
      <c r="C4" s="16">
        <v>0</v>
      </c>
      <c r="D4" s="67">
        <f>CEILING(1+MIN(T$3-C4-1,$L$1)+(T$3-C4-1-MIN(T$3-C4-1,$L$1))/$M$1,1)</f>
        <v>10</v>
      </c>
      <c r="E4" s="63">
        <f>MAX(($G$1/($F$1*D4))^(1/(ROUNDUP(D4/3,)-1)),2/3)</f>
        <v>0.66666666666666663</v>
      </c>
      <c r="F4" s="47">
        <f>IF(CEILING($B4*$D4/3,1)&gt;=F$2,CEILING($F$1*IF($Y$3*$AD$3&gt;=$I$1,1,IF($Y$3*$AD$3&gt;=$H$1,0.5,0))*(1+IF($N$3=$D$1,IF($Y$3*$AD$3&gt;=$K$1,0,IF($Y$3*$AD$3&gt;=$J$1,0,0)),0))*$B4*$D4*$E4^(F$2-1),1),0)</f>
        <v>30</v>
      </c>
      <c r="G4" s="47">
        <f>IF(CEILING($B4*$D4/3,1)&gt;=G$2,CEILING($F$1*IF($Y$3*$AD$3&gt;=$I$1,1,IF($Y$3*$AD$3&gt;=$H$1,0.5,0))*(1+IF($N$3=$D$1,IF($Y$3*$AD$3&gt;=$K$1,0,IF($Y$3*$AD$3&gt;=$J$1,0,0)),0))*$B4*$D4*$E4^(G$2-1),1),0)</f>
        <v>20</v>
      </c>
      <c r="H4" s="47">
        <f>IF(CEILING($B4*$D4/3,1)&gt;=H$2,CEILING($F$1*IF($Y$3*$AD$3&gt;=$I$1,1,IF($Y$3*$AD$3&gt;=$H$1,0.5,0))*(1+IF($N$3=$D$1,IF($Y$3*$AD$3&gt;=$K$1,0,IF($Y$3*$AD$3&gt;=$J$1,0,0)),0))*$B4*$D4*$E4^(H$2-1),1),0)</f>
        <v>14</v>
      </c>
      <c r="I4" s="47">
        <f>IF(CEILING($B4*$D4/3,1)&gt;=I$2,CEILING($F$1*IF($Y$3*$AD$3&gt;=$I$1,1,IF($Y$3*$AD$3&gt;=$H$1,0.5,0))*(1+IF($N$3=$D$1,IF($Y$3*$AD$3&gt;=$K$1,0,IF($Y$3*$AD$3&gt;=$J$1,0,0)),0))*$B4*$D4*$E4^(I$2-1),1),0)</f>
        <v>9</v>
      </c>
      <c r="J4" s="47">
        <f>IF(CEILING($B4*$D4/3,1)&gt;=J$2,CEILING($F$1*IF($Y$3*$AD$3&gt;=$I$1,1,IF($Y$3*$AD$3&gt;=$H$1,0.5,0))*(1+IF($N$3=$D$1,IF($Y$3*$AD$3&gt;=$K$1,0,IF($Y$3*$AD$3&gt;=$J$1,0,0)),0))*$B4*$D4*$E4^(J$2-1),1),0)</f>
        <v>0</v>
      </c>
      <c r="K4" s="47">
        <f>IF(CEILING($B4*$D4/3,1)&gt;=K$2,CEILING($F$1*IF($Y$3*$AD$3&gt;=$I$1,1,IF($Y$3*$AD$3&gt;=$H$1,0.5,0))*(1+IF($N$3=$D$1,IF($Y$3*$AD$3&gt;=$K$1,0,IF($Y$3*$AD$3&gt;=$J$1,0,0)),0))*$B4*$D4*$E4^(K$2-1),1),0)</f>
        <v>0</v>
      </c>
      <c r="L4" s="47">
        <f>IF(CEILING($B4*$D4/3,1)&gt;=L$2,CEILING($F$1*IF($Y$3*$AD$3&gt;=$I$1,1,IF($Y$3*$AD$3&gt;=$H$1,0.5,0))*(1+IF($N$3=$D$1,IF($Y$3*$AD$3&gt;=$K$1,0,IF($Y$3*$AD$3&gt;=$J$1,0,0)),0))*$B4*$D4*$E4^(L$2-1),1),0)</f>
        <v>0</v>
      </c>
      <c r="M4" s="47">
        <f>IF(CEILING($B4*$D4/3,1)&gt;=M$2,CEILING($F$1*IF($Y$3*$AD$3&gt;=$I$1,1,IF($Y$3*$AD$3&gt;=$H$1,0.5,0))*(1+IF($N$3=$D$1,IF($Y$3*$AD$3&gt;=$K$1,0,IF($Y$3*$AD$3&gt;=$J$1,0,0)),0))*$B4*$D4*$E4^(M$2-1),1),0)</f>
        <v>0</v>
      </c>
      <c r="N4" s="47">
        <f>IF(CEILING($B4*$D4/3,1)&gt;=N$2,CEILING($F$1*IF($Y$3*$AD$3&gt;=$I$1,1,IF($Y$3*$AD$3&gt;=$H$1,0.5,0))*(1+IF($N$3=$D$1,IF($Y$3*$AD$3&gt;=$K$1,0,IF($Y$3*$AD$3&gt;=$J$1,0,0)),0))*$B4*$D4*$E4^(N$2-1),1),0)</f>
        <v>0</v>
      </c>
      <c r="O4" s="47">
        <f>IF(CEILING($B4*$D4/3,1)&gt;=O$2,CEILING($F$1*IF($Y$3*$AD$3&gt;=$I$1,1,IF($Y$3*$AD$3&gt;=$H$1,0.5,0))*(1+IF($N$3=$D$1,IF($Y$3*$AD$3&gt;=$K$1,0,IF($Y$3*$AD$3&gt;=$J$1,0,0)),0))*$B4*$D4*$E4^(O$2-1),1),0)</f>
        <v>0</v>
      </c>
      <c r="P4" s="47">
        <f>IF(CEILING($B4*$D4/3,1)&gt;=P$2,CEILING($F$1*IF($Y$3*$AD$3&gt;=$I$1,1,IF($Y$3*$AD$3&gt;=$H$1,0.5,0))*(1+IF($N$3=$D$1,IF($Y$3*$AD$3&gt;=$K$1,0,IF($Y$3*$AD$3&gt;=$J$1,0,0)),0))*$B4*$D4*$E4^(P$2-1),1),0)</f>
        <v>0</v>
      </c>
      <c r="Q4" s="47">
        <f>IF(CEILING($B4*$D4/3,1)&gt;=Q$2,CEILING($F$1*IF($Y$3*$AD$3&gt;=$I$1,1,IF($Y$3*$AD$3&gt;=$H$1,0.5,0))*(1+IF($N$3=$D$1,IF($Y$3*$AD$3&gt;=$K$1,0,IF($Y$3*$AD$3&gt;=$J$1,0,0)),0))*$B4*$D4*$E4^(Q$2-1),1),0)</f>
        <v>0</v>
      </c>
      <c r="R4" s="47">
        <f>IF(CEILING($B4*$D4/3,1)&gt;=R$2,CEILING($F$1*IF($Y$3*$AD$3&gt;=$I$1,1,IF($Y$3*$AD$3&gt;=$H$1,0.5,0))*(1+IF($N$3=$D$1,IF($Y$3*$AD$3&gt;=$K$1,0,IF($Y$3*$AD$3&gt;=$J$1,0,0)),0))*$B4*$D4*$E4^(R$2-1),1),0)</f>
        <v>0</v>
      </c>
      <c r="S4" s="47">
        <f>IF(CEILING($B4*$D4/3,1)&gt;=S$2,CEILING($F$1*IF($Y$3*$AD$3&gt;=$I$1,1,IF($Y$3*$AD$3&gt;=$H$1,0.5,0))*(1+IF($N$3=$D$1,IF($Y$3*$AD$3&gt;=$K$1,0,IF($Y$3*$AD$3&gt;=$J$1,0,0)),0))*$B4*$D4*$E4^(S$2-1),1),0)</f>
        <v>0</v>
      </c>
      <c r="T4" s="47">
        <f>IF(CEILING($B4*$D4/3,1)&gt;=T$2,CEILING($F$1*IF($Y$3*$AD$3&gt;=$I$1,1,IF($Y$3*$AD$3&gt;=$H$1,0.5,0))*(1+IF($N$3=$D$1,IF($Y$3*$AD$3&gt;=$K$1,0,IF($Y$3*$AD$3&gt;=$J$1,0,0)),0))*$B4*$D4*$E4^(T$2-1),1),0)</f>
        <v>0</v>
      </c>
      <c r="U4" s="47">
        <f>IF(CEILING($B4*$D4/3,1)&gt;=U$2,CEILING($F$1*IF($Y$3*$AD$3&gt;=$I$1,1,IF($Y$3*$AD$3&gt;=$H$1,0.5,0))*(1+IF($N$3=$D$1,IF($Y$3*$AD$3&gt;=$K$1,0,IF($Y$3*$AD$3&gt;=$J$1,0,0)),0))*$B4*$D4*$E4^(U$2-1),1),0)</f>
        <v>0</v>
      </c>
      <c r="V4" s="47">
        <f>IF(CEILING($B4*$D4/3,1)&gt;=V$2,CEILING($F$1*IF($Y$3*$AD$3&gt;=$I$1,1,IF($Y$3*$AD$3&gt;=$H$1,0.5,0))*(1+IF($N$3=$D$1,IF($Y$3*$AD$3&gt;=$K$1,0,IF($Y$3*$AD$3&gt;=$J$1,0,0)),0))*$B4*$D4*$E4^(V$2-1),1),0)</f>
        <v>0</v>
      </c>
      <c r="W4" s="47">
        <f>IF(CEILING($B4*$D4/3,1)&gt;=W$2,CEILING($F$1*IF($Y$3*$AD$3&gt;=$I$1,1,IF($Y$3*$AD$3&gt;=$H$1,0.5,0))*(1+IF($N$3=$D$1,IF($Y$3*$AD$3&gt;=$K$1,0,IF($Y$3*$AD$3&gt;=$J$1,0,0)),0))*$B4*$D4*$E4^(W$2-1),1),0)</f>
        <v>0</v>
      </c>
      <c r="X4" s="47">
        <f>IF(CEILING($B4*$D4/3,1)&gt;=X$2,CEILING($F$1*IF($Y$3*$AD$3&gt;=$I$1,1,IF($Y$3*$AD$3&gt;=$H$1,0.5,0))*(1+IF($N$3=$D$1,IF($Y$3*$AD$3&gt;=$K$1,0,IF($Y$3*$AD$3&gt;=$J$1,0,0)),0))*$B4*$D4*$E4^(X$2-1),1),0)</f>
        <v>0</v>
      </c>
      <c r="Y4" s="47">
        <f>IF(CEILING($B4*$D4/3,1)&gt;=Y$2,CEILING($F$1*IF($Y$3*$AD$3&gt;=$I$1,1,IF($Y$3*$AD$3&gt;=$H$1,0.5,0))*(1+IF($N$3=$D$1,IF($Y$3*$AD$3&gt;=$K$1,0,IF($Y$3*$AD$3&gt;=$J$1,0,0)),0))*$B4*$D4*$E4^(Y$2-1),1),0)</f>
        <v>0</v>
      </c>
      <c r="Z4" s="47">
        <f>IF(CEILING($B4*$D4/3,1)&gt;=Z$2,CEILING($F$1*IF($Y$3*$AD$3&gt;=$I$1,1,IF($Y$3*$AD$3&gt;=$H$1,0.5,0))*(1+IF($N$3=$D$1,IF($Y$3*$AD$3&gt;=$K$1,0,IF($Y$3*$AD$3&gt;=$J$1,0,0)),0))*$B4*$D4*$E4^(Z$2-1),1),0)</f>
        <v>0</v>
      </c>
      <c r="AA4" s="47">
        <f>IF(CEILING($B4*$D4/3,1)&gt;=AA$2,CEILING($F$1*IF($Y$3*$AD$3&gt;=$I$1,1,IF($Y$3*$AD$3&gt;=$H$1,0.5,0))*(1+IF($N$3=$D$1,IF($Y$3*$AD$3&gt;=$K$1,0,IF($Y$3*$AD$3&gt;=$J$1,0,0)),0))*$B4*$D4*$E4^(AA$2-1),1),0)</f>
        <v>0</v>
      </c>
      <c r="AB4" s="47">
        <f>IF(CEILING($B4*$D4/3,1)&gt;=AB$2,CEILING($F$1*IF($Y$3*$AD$3&gt;=$I$1,1,IF($Y$3*$AD$3&gt;=$H$1,0.5,0))*(1+IF($N$3=$D$1,IF($Y$3*$AD$3&gt;=$K$1,0,IF($Y$3*$AD$3&gt;=$J$1,0,0)),0))*$B4*$D4*$E4^(AB$2-1),1),0)</f>
        <v>0</v>
      </c>
      <c r="AC4" s="47">
        <f>IF(CEILING($B4*$D4/3,1)&gt;=AC$2,CEILING($F$1*IF($Y$3*$AD$3&gt;=$I$1,1,IF($Y$3*$AD$3&gt;=$H$1,0.5,0))*(1+IF($N$3=$D$1,IF($Y$3*$AD$3&gt;=$K$1,0,IF($Y$3*$AD$3&gt;=$J$1,0,0)),0))*$B4*$D4*$E4^(AC$2-1),1),0)</f>
        <v>0</v>
      </c>
      <c r="AD4" s="47">
        <f>IF(CEILING($B4*$D4/3,1)&gt;=AD$2,CEILING($F$1*IF($Y$3*$AD$3&gt;=$I$1,1,IF($Y$3*$AD$3&gt;=$H$1,0.5,0))*(1+IF($N$3=$D$1,IF($Y$3*$AD$3&gt;=$K$1,0,IF($Y$3*$AD$3&gt;=$J$1,0,0)),0))*$B4*$D4*$E4^(AD$2-1),1),0)</f>
        <v>0</v>
      </c>
      <c r="AE4" s="47">
        <f>IF(CEILING($B4*$D4/3,1)&gt;=AE$2,CEILING($F$1*IF($Y$3*$AD$3&gt;=$I$1,1,IF($Y$3*$AD$3&gt;=$H$1,0.5,0))*(1+IF($N$3=$D$1,IF($Y$3*$AD$3&gt;=$K$1,0,IF($Y$3*$AD$3&gt;=$J$1,0,0)),0))*$B4*$D4*$E4^(AE$2-1),1),0)</f>
        <v>0</v>
      </c>
      <c r="AF4" s="47">
        <f>IF(CEILING($B4*$D4/3,1)&gt;=AF$2,CEILING($F$1*IF($Y$3*$AD$3&gt;=$I$1,1,IF($Y$3*$AD$3&gt;=$H$1,0.5,0))*(1+IF($N$3=$D$1,IF($Y$3*$AD$3&gt;=$K$1,0,IF($Y$3*$AD$3&gt;=$J$1,0,0)),0))*$B4*$D4*$E4^(AF$2-1),1),0)</f>
        <v>0</v>
      </c>
      <c r="AG4" s="47">
        <f>IF(CEILING($B4*$D4/3,1)&gt;=AG$2,CEILING($F$1*IF($Y$3*$AD$3&gt;=$I$1,1,IF($Y$3*$AD$3&gt;=$H$1,0.5,0))*(1+IF($N$3=$D$1,IF($Y$3*$AD$3&gt;=$K$1,0,IF($Y$3*$AD$3&gt;=$J$1,0,0)),0))*$B4*$D4*$E4^(AG$2-1),1),0)</f>
        <v>0</v>
      </c>
      <c r="AH4" s="47">
        <f>IF(CEILING($B4*$D4/3,1)&gt;=AH$2,CEILING($F$1*IF($Y$3*$AD$3&gt;=$I$1,1,IF($Y$3*$AD$3&gt;=$H$1,0.5,0))*(1+IF($N$3=$D$1,IF($Y$3*$AD$3&gt;=$K$1,0,IF($Y$3*$AD$3&gt;=$J$1,0,0)),0))*$B4*$D4*$E4^(AH$2-1),1),0)</f>
        <v>0</v>
      </c>
      <c r="AI4" s="48">
        <f>IF(CEILING($B4*$D4/3,1)&gt;=AI$2,CEILING($F$1*IF($Y$3*$AD$3&gt;=$I$1,1,IF($Y$3*$AD$3&gt;=$H$1,0.5,0))*(1+IF($N$3=$D$1,IF($Y$3*$AD$3&gt;=$K$1,0,IF($Y$3*$AD$3&gt;=$J$1,0,0)),0))*$B4*$D4*$E4^(AI$2-1),1),0)</f>
        <v>0</v>
      </c>
    </row>
    <row r="5" spans="1:35" ht="15" customHeight="1" x14ac:dyDescent="0.25">
      <c r="A5" s="58"/>
      <c r="B5" s="60"/>
      <c r="C5" s="6"/>
      <c r="D5" s="68"/>
      <c r="E5" s="64"/>
      <c r="F5" s="49"/>
      <c r="G5" s="49"/>
      <c r="H5" s="49"/>
      <c r="I5" s="49"/>
      <c r="J5" s="50"/>
      <c r="K5" s="50"/>
      <c r="L5" s="50"/>
      <c r="M5" s="50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51"/>
    </row>
    <row r="6" spans="1:35" x14ac:dyDescent="0.25">
      <c r="A6" s="58"/>
      <c r="B6" s="60"/>
      <c r="C6" s="6"/>
      <c r="D6" s="68"/>
      <c r="E6" s="64"/>
      <c r="F6" s="117" t="s">
        <v>11</v>
      </c>
      <c r="G6" s="117"/>
      <c r="H6" s="117"/>
      <c r="I6" s="36">
        <v>2</v>
      </c>
      <c r="J6" s="113" t="s">
        <v>3</v>
      </c>
      <c r="K6" s="113"/>
      <c r="L6" s="113"/>
      <c r="M6" s="113"/>
      <c r="N6" s="118" t="s">
        <v>5</v>
      </c>
      <c r="O6" s="118"/>
      <c r="P6" s="115" t="s">
        <v>1</v>
      </c>
      <c r="Q6" s="115"/>
      <c r="R6" s="115"/>
      <c r="S6" s="115"/>
      <c r="T6" s="15">
        <v>10</v>
      </c>
      <c r="U6" s="116" t="s">
        <v>2</v>
      </c>
      <c r="V6" s="116"/>
      <c r="W6" s="116"/>
      <c r="X6" s="116"/>
      <c r="Y6" s="15">
        <v>9</v>
      </c>
      <c r="Z6" s="116" t="s">
        <v>4</v>
      </c>
      <c r="AA6" s="116"/>
      <c r="AB6" s="116"/>
      <c r="AC6" s="116"/>
      <c r="AD6" s="15">
        <v>3</v>
      </c>
      <c r="AE6" s="26"/>
      <c r="AF6" s="26"/>
      <c r="AG6" s="26"/>
      <c r="AH6" s="26"/>
      <c r="AI6" s="27"/>
    </row>
    <row r="7" spans="1:35" x14ac:dyDescent="0.25">
      <c r="A7" s="58">
        <v>1</v>
      </c>
      <c r="B7" s="60">
        <v>1.1000000000000001</v>
      </c>
      <c r="C7" s="16">
        <v>0</v>
      </c>
      <c r="D7" s="67">
        <f>CEILING(1+MIN(T$6-C7-1,$L$1)+(T$6-C7-1-MIN(T$6-C7-1,$L$1))/$M$1,1)</f>
        <v>10</v>
      </c>
      <c r="E7" s="63">
        <f>MAX(($G$1/($F$1*D7))^(1/(ROUNDUP(D7/3,)-1)),2/3)</f>
        <v>0.66666666666666663</v>
      </c>
      <c r="F7" s="47">
        <f>IF(CEILING($B7*$D7/3,1)&gt;=F$2,CEILING($F$1*IF($Y$6*$AD$6&gt;=$I$1,1,IF($Y$6*$AD$6&gt;=$H$1,0.5,0))*(1+IF($N$6=$D$1,IF($Y$6*$AD$6&gt;=$K$1,0,IF($Y$6*$AD$6&gt;=$J$1,0,0)),0))*$B7*$D7*$E7^(F$2-1),1),0)</f>
        <v>33</v>
      </c>
      <c r="G7" s="47">
        <f>IF(CEILING($B7*$D7/3,1)&gt;=G$2,CEILING($F$1*IF($Y$6*$AD$6&gt;=$I$1,1,IF($Y$6*$AD$6&gt;=$H$1,0.5,0))*(1+IF($N$6=$D$1,IF($Y$6*$AD$6&gt;=$K$1,0,IF($Y$6*$AD$6&gt;=$J$1,0,0)),0))*$B7*$D7*$E7^(G$2-1),1),0)</f>
        <v>22</v>
      </c>
      <c r="H7" s="47">
        <f>IF(CEILING($B7*$D7/3,1)&gt;=H$2,CEILING($F$1*IF($Y$6*$AD$6&gt;=$I$1,1,IF($Y$6*$AD$6&gt;=$H$1,0.5,0))*(1+IF($N$6=$D$1,IF($Y$6*$AD$6&gt;=$K$1,0,IF($Y$6*$AD$6&gt;=$J$1,0,0)),0))*$B7*$D7*$E7^(H$2-1),1),0)</f>
        <v>15</v>
      </c>
      <c r="I7" s="47">
        <f>IF(CEILING($B7*$D7/3,1)&gt;=I$2,CEILING($F$1*IF($Y$6*$AD$6&gt;=$I$1,1,IF($Y$6*$AD$6&gt;=$H$1,0.5,0))*(1+IF($N$6=$D$1,IF($Y$6*$AD$6&gt;=$K$1,0,IF($Y$6*$AD$6&gt;=$J$1,0,0)),0))*$B7*$D7*$E7^(I$2-1),1),0)</f>
        <v>10</v>
      </c>
      <c r="J7" s="47">
        <f>IF(CEILING($B7*$D7/3,1)&gt;=J$2,CEILING($F$1*IF($Y$6*$AD$6&gt;=$I$1,1,IF($Y$6*$AD$6&gt;=$H$1,0.5,0))*(1+IF($N$6=$D$1,IF($Y$6*$AD$6&gt;=$K$1,0,IF($Y$6*$AD$6&gt;=$J$1,0,0)),0))*$B7*$D7*$E7^(J$2-1),1),0)</f>
        <v>0</v>
      </c>
      <c r="K7" s="47">
        <f>IF(CEILING($B7*$D7/3,1)&gt;=K$2,CEILING($F$1*IF($Y$6*$AD$6&gt;=$I$1,1,IF($Y$6*$AD$6&gt;=$H$1,0.5,0))*(1+IF($N$6=$D$1,IF($Y$6*$AD$6&gt;=$K$1,0,IF($Y$6*$AD$6&gt;=$J$1,0,0)),0))*$B7*$D7*$E7^(K$2-1),1),0)</f>
        <v>0</v>
      </c>
      <c r="L7" s="47">
        <f>IF(CEILING($B7*$D7/3,1)&gt;=L$2,CEILING($F$1*IF($Y$6*$AD$6&gt;=$I$1,1,IF($Y$6*$AD$6&gt;=$H$1,0.5,0))*(1+IF($N$6=$D$1,IF($Y$6*$AD$6&gt;=$K$1,0,IF($Y$6*$AD$6&gt;=$J$1,0,0)),0))*$B7*$D7*$E7^(L$2-1),1),0)</f>
        <v>0</v>
      </c>
      <c r="M7" s="47">
        <f>IF(CEILING($B7*$D7/3,1)&gt;=M$2,CEILING($F$1*IF($Y$6*$AD$6&gt;=$I$1,1,IF($Y$6*$AD$6&gt;=$H$1,0.5,0))*(1+IF($N$6=$D$1,IF($Y$6*$AD$6&gt;=$K$1,0,IF($Y$6*$AD$6&gt;=$J$1,0,0)),0))*$B7*$D7*$E7^(M$2-1),1),0)</f>
        <v>0</v>
      </c>
      <c r="N7" s="47">
        <f>IF(CEILING($B7*$D7/3,1)&gt;=N$2,CEILING($F$1*IF($Y$6*$AD$6&gt;=$I$1,1,IF($Y$6*$AD$6&gt;=$H$1,0.5,0))*(1+IF($N$6=$D$1,IF($Y$6*$AD$6&gt;=$K$1,0,IF($Y$6*$AD$6&gt;=$J$1,0,0)),0))*$B7*$D7*$E7^(N$2-1),1),0)</f>
        <v>0</v>
      </c>
      <c r="O7" s="47">
        <f>IF(CEILING($B7*$D7/3,1)&gt;=O$2,CEILING($F$1*IF($Y$6*$AD$6&gt;=$I$1,1,IF($Y$6*$AD$6&gt;=$H$1,0.5,0))*(1+IF($N$6=$D$1,IF($Y$6*$AD$6&gt;=$K$1,0,IF($Y$6*$AD$6&gt;=$J$1,0,0)),0))*$B7*$D7*$E7^(O$2-1),1),0)</f>
        <v>0</v>
      </c>
      <c r="P7" s="47">
        <f>IF(CEILING($B7*$D7/3,1)&gt;=P$2,CEILING($F$1*IF($Y$6*$AD$6&gt;=$I$1,1,IF($Y$6*$AD$6&gt;=$H$1,0.5,0))*(1+IF($N$6=$D$1,IF($Y$6*$AD$6&gt;=$K$1,0,IF($Y$6*$AD$6&gt;=$J$1,0,0)),0))*$B7*$D7*$E7^(P$2-1),1),0)</f>
        <v>0</v>
      </c>
      <c r="Q7" s="47">
        <f>IF(CEILING($B7*$D7/3,1)&gt;=Q$2,CEILING($F$1*IF($Y$6*$AD$6&gt;=$I$1,1,IF($Y$6*$AD$6&gt;=$H$1,0.5,0))*(1+IF($N$6=$D$1,IF($Y$6*$AD$6&gt;=$K$1,0,IF($Y$6*$AD$6&gt;=$J$1,0,0)),0))*$B7*$D7*$E7^(Q$2-1),1),0)</f>
        <v>0</v>
      </c>
      <c r="R7" s="47">
        <f>IF(CEILING($B7*$D7/3,1)&gt;=R$2,CEILING($F$1*IF($Y$6*$AD$6&gt;=$I$1,1,IF($Y$6*$AD$6&gt;=$H$1,0.5,0))*(1+IF($N$6=$D$1,IF($Y$6*$AD$6&gt;=$K$1,0,IF($Y$6*$AD$6&gt;=$J$1,0,0)),0))*$B7*$D7*$E7^(R$2-1),1),0)</f>
        <v>0</v>
      </c>
      <c r="S7" s="47">
        <f>IF(CEILING($B7*$D7/3,1)&gt;=S$2,CEILING($F$1*IF($Y$6*$AD$6&gt;=$I$1,1,IF($Y$6*$AD$6&gt;=$H$1,0.5,0))*(1+IF($N$6=$D$1,IF($Y$6*$AD$6&gt;=$K$1,0,IF($Y$6*$AD$6&gt;=$J$1,0,0)),0))*$B7*$D7*$E7^(S$2-1),1),0)</f>
        <v>0</v>
      </c>
      <c r="T7" s="47">
        <f>IF(CEILING($B7*$D7/3,1)&gt;=T$2,CEILING($F$1*IF($Y$6*$AD$6&gt;=$I$1,1,IF($Y$6*$AD$6&gt;=$H$1,0.5,0))*(1+IF($N$6=$D$1,IF($Y$6*$AD$6&gt;=$K$1,0,IF($Y$6*$AD$6&gt;=$J$1,0,0)),0))*$B7*$D7*$E7^(T$2-1),1),0)</f>
        <v>0</v>
      </c>
      <c r="U7" s="47">
        <f>IF(CEILING($B7*$D7/3,1)&gt;=U$2,CEILING($F$1*IF($Y$6*$AD$6&gt;=$I$1,1,IF($Y$6*$AD$6&gt;=$H$1,0.5,0))*(1+IF($N$6=$D$1,IF($Y$6*$AD$6&gt;=$K$1,0,IF($Y$6*$AD$6&gt;=$J$1,0,0)),0))*$B7*$D7*$E7^(U$2-1),1),0)</f>
        <v>0</v>
      </c>
      <c r="V7" s="47">
        <f>IF(CEILING($B7*$D7/3,1)&gt;=V$2,CEILING($F$1*IF($Y$6*$AD$6&gt;=$I$1,1,IF($Y$6*$AD$6&gt;=$H$1,0.5,0))*(1+IF($N$6=$D$1,IF($Y$6*$AD$6&gt;=$K$1,0,IF($Y$6*$AD$6&gt;=$J$1,0,0)),0))*$B7*$D7*$E7^(V$2-1),1),0)</f>
        <v>0</v>
      </c>
      <c r="W7" s="47">
        <f>IF(CEILING($B7*$D7/3,1)&gt;=W$2,CEILING($F$1*IF($Y$6*$AD$6&gt;=$I$1,1,IF($Y$6*$AD$6&gt;=$H$1,0.5,0))*(1+IF($N$6=$D$1,IF($Y$6*$AD$6&gt;=$K$1,0,IF($Y$6*$AD$6&gt;=$J$1,0,0)),0))*$B7*$D7*$E7^(W$2-1),1),0)</f>
        <v>0</v>
      </c>
      <c r="X7" s="47">
        <f>IF(CEILING($B7*$D7/3,1)&gt;=X$2,CEILING($F$1*IF($Y$6*$AD$6&gt;=$I$1,1,IF($Y$6*$AD$6&gt;=$H$1,0.5,0))*(1+IF($N$6=$D$1,IF($Y$6*$AD$6&gt;=$K$1,0,IF($Y$6*$AD$6&gt;=$J$1,0,0)),0))*$B7*$D7*$E7^(X$2-1),1),0)</f>
        <v>0</v>
      </c>
      <c r="Y7" s="47">
        <f>IF(CEILING($B7*$D7/3,1)&gt;=Y$2,CEILING($F$1*IF($Y$6*$AD$6&gt;=$I$1,1,IF($Y$6*$AD$6&gt;=$H$1,0.5,0))*(1+IF($N$6=$D$1,IF($Y$6*$AD$6&gt;=$K$1,0,IF($Y$6*$AD$6&gt;=$J$1,0,0)),0))*$B7*$D7*$E7^(Y$2-1),1),0)</f>
        <v>0</v>
      </c>
      <c r="Z7" s="47">
        <f>IF(CEILING($B7*$D7/3,1)&gt;=Z$2,CEILING($F$1*IF($Y$6*$AD$6&gt;=$I$1,1,IF($Y$6*$AD$6&gt;=$H$1,0.5,0))*(1+IF($N$6=$D$1,IF($Y$6*$AD$6&gt;=$K$1,0,IF($Y$6*$AD$6&gt;=$J$1,0,0)),0))*$B7*$D7*$E7^(Z$2-1),1),0)</f>
        <v>0</v>
      </c>
      <c r="AA7" s="47">
        <f>IF(CEILING($B7*$D7/3,1)&gt;=AA$2,CEILING($F$1*IF($Y$6*$AD$6&gt;=$I$1,1,IF($Y$6*$AD$6&gt;=$H$1,0.5,0))*(1+IF($N$6=$D$1,IF($Y$6*$AD$6&gt;=$K$1,0,IF($Y$6*$AD$6&gt;=$J$1,0,0)),0))*$B7*$D7*$E7^(AA$2-1),1),0)</f>
        <v>0</v>
      </c>
      <c r="AB7" s="47">
        <f>IF(CEILING($B7*$D7/3,1)&gt;=AB$2,CEILING($F$1*IF($Y$6*$AD$6&gt;=$I$1,1,IF($Y$6*$AD$6&gt;=$H$1,0.5,0))*(1+IF($N$6=$D$1,IF($Y$6*$AD$6&gt;=$K$1,0,IF($Y$6*$AD$6&gt;=$J$1,0,0)),0))*$B7*$D7*$E7^(AB$2-1),1),0)</f>
        <v>0</v>
      </c>
      <c r="AC7" s="47">
        <f>IF(CEILING($B7*$D7/3,1)&gt;=AC$2,CEILING($F$1*IF($Y$6*$AD$6&gt;=$I$1,1,IF($Y$6*$AD$6&gt;=$H$1,0.5,0))*(1+IF($N$6=$D$1,IF($Y$6*$AD$6&gt;=$K$1,0,IF($Y$6*$AD$6&gt;=$J$1,0,0)),0))*$B7*$D7*$E7^(AC$2-1),1),0)</f>
        <v>0</v>
      </c>
      <c r="AD7" s="47">
        <f>IF(CEILING($B7*$D7/3,1)&gt;=AD$2,CEILING($F$1*IF($Y$6*$AD$6&gt;=$I$1,1,IF($Y$6*$AD$6&gt;=$H$1,0.5,0))*(1+IF($N$6=$D$1,IF($Y$6*$AD$6&gt;=$K$1,0,IF($Y$6*$AD$6&gt;=$J$1,0,0)),0))*$B7*$D7*$E7^(AD$2-1),1),0)</f>
        <v>0</v>
      </c>
      <c r="AE7" s="47">
        <f>IF(CEILING($B7*$D7/3,1)&gt;=AE$2,CEILING($F$1*IF($Y$6*$AD$6&gt;=$I$1,1,IF($Y$6*$AD$6&gt;=$H$1,0.5,0))*(1+IF($N$6=$D$1,IF($Y$6*$AD$6&gt;=$K$1,0,IF($Y$6*$AD$6&gt;=$J$1,0,0)),0))*$B7*$D7*$E7^(AE$2-1),1),0)</f>
        <v>0</v>
      </c>
      <c r="AF7" s="47">
        <f>IF(CEILING($B7*$D7/3,1)&gt;=AF$2,CEILING($F$1*IF($Y$6*$AD$6&gt;=$I$1,1,IF($Y$6*$AD$6&gt;=$H$1,0.5,0))*(1+IF($N$6=$D$1,IF($Y$6*$AD$6&gt;=$K$1,0,IF($Y$6*$AD$6&gt;=$J$1,0,0)),0))*$B7*$D7*$E7^(AF$2-1),1),0)</f>
        <v>0</v>
      </c>
      <c r="AG7" s="47">
        <f>IF(CEILING($B7*$D7/3,1)&gt;=AG$2,CEILING($F$1*IF($Y$6*$AD$6&gt;=$I$1,1,IF($Y$6*$AD$6&gt;=$H$1,0.5,0))*(1+IF($N$6=$D$1,IF($Y$6*$AD$6&gt;=$K$1,0,IF($Y$6*$AD$6&gt;=$J$1,0,0)),0))*$B7*$D7*$E7^(AG$2-1),1),0)</f>
        <v>0</v>
      </c>
      <c r="AH7" s="47">
        <f>IF(CEILING($B7*$D7/3,1)&gt;=AH$2,CEILING($F$1*IF($Y$6*$AD$6&gt;=$I$1,1,IF($Y$6*$AD$6&gt;=$H$1,0.5,0))*(1+IF($N$6=$D$1,IF($Y$6*$AD$6&gt;=$K$1,0,IF($Y$6*$AD$6&gt;=$J$1,0,0)),0))*$B7*$D7*$E7^(AH$2-1),1),0)</f>
        <v>0</v>
      </c>
      <c r="AI7" s="48">
        <f>IF(CEILING($B7*$D7/3,1)&gt;=AI$2,CEILING($F$1*IF($Y$6*$AD$6&gt;=$I$1,1,IF($Y$6*$AD$6&gt;=$H$1,0.5,0))*(1+IF($N$6=$D$1,IF($Y$6*$AD$6&gt;=$K$1,0,IF($Y$6*$AD$6&gt;=$J$1,0,0)),0))*$B7*$D7*$E7^(AI$2-1),1),0)</f>
        <v>0</v>
      </c>
    </row>
    <row r="8" spans="1:35" x14ac:dyDescent="0.25">
      <c r="A8" s="58">
        <v>2</v>
      </c>
      <c r="B8" s="60">
        <v>0.9</v>
      </c>
      <c r="C8" s="16">
        <v>0</v>
      </c>
      <c r="D8" s="67">
        <f>CEILING(1+MIN(T$6-C8-1,$L$1)+(T$6-C8-1-MIN(T$6-C8-1,$L$1))/$M$1,1)</f>
        <v>10</v>
      </c>
      <c r="E8" s="63">
        <f>MAX(($G$1/($F$1*D8))^(1/(ROUNDUP(D8/3,)-1)),2/3)</f>
        <v>0.66666666666666663</v>
      </c>
      <c r="F8" s="47">
        <f>IF(CEILING($B8*$D8/3,1)&gt;=F$2,CEILING($F$1*IF($Y$6*$AD$6&gt;=$I$1,1,IF($Y$6*$AD$6&gt;=$H$1,0.5,0))*(1+IF($N$6=$D$1,IF($Y$6*$AD$6&gt;=$K$1,0,IF($Y$6*$AD$6&gt;=$J$1,0,0)),0))*$B8*$D8*$E8^(F$2-1),1),0)</f>
        <v>27</v>
      </c>
      <c r="G8" s="47">
        <f>IF(CEILING($B8*$D8/3,1)&gt;=G$2,CEILING($F$1*IF($Y$6*$AD$6&gt;=$I$1,1,IF($Y$6*$AD$6&gt;=$H$1,0.5,0))*(1+IF($N$6=$D$1,IF($Y$6*$AD$6&gt;=$K$1,0,IF($Y$6*$AD$6&gt;=$J$1,0,0)),0))*$B8*$D8*$E8^(G$2-1),1),0)</f>
        <v>18</v>
      </c>
      <c r="H8" s="47">
        <f>IF(CEILING($B8*$D8/3,1)&gt;=H$2,CEILING($F$1*IF($Y$6*$AD$6&gt;=$I$1,1,IF($Y$6*$AD$6&gt;=$H$1,0.5,0))*(1+IF($N$6=$D$1,IF($Y$6*$AD$6&gt;=$K$1,0,IF($Y$6*$AD$6&gt;=$J$1,0,0)),0))*$B8*$D8*$E8^(H$2-1),1),0)</f>
        <v>12</v>
      </c>
      <c r="I8" s="47">
        <f>IF(CEILING($B8*$D8/3,1)&gt;=I$2,CEILING($F$1*IF($Y$6*$AD$6&gt;=$I$1,1,IF($Y$6*$AD$6&gt;=$H$1,0.5,0))*(1+IF($N$6=$D$1,IF($Y$6*$AD$6&gt;=$K$1,0,IF($Y$6*$AD$6&gt;=$J$1,0,0)),0))*$B8*$D8*$E8^(I$2-1),1),0)</f>
        <v>0</v>
      </c>
      <c r="J8" s="47">
        <f>IF(CEILING($B8*$D8/3,1)&gt;=J$2,CEILING($F$1*IF($Y$6*$AD$6&gt;=$I$1,1,IF($Y$6*$AD$6&gt;=$H$1,0.5,0))*(1+IF($N$6=$D$1,IF($Y$6*$AD$6&gt;=$K$1,0,IF($Y$6*$AD$6&gt;=$J$1,0,0)),0))*$B8*$D8*$E8^(J$2-1),1),0)</f>
        <v>0</v>
      </c>
      <c r="K8" s="47">
        <f>IF(CEILING($B8*$D8/3,1)&gt;=K$2,CEILING($F$1*IF($Y$6*$AD$6&gt;=$I$1,1,IF($Y$6*$AD$6&gt;=$H$1,0.5,0))*(1+IF($N$6=$D$1,IF($Y$6*$AD$6&gt;=$K$1,0,IF($Y$6*$AD$6&gt;=$J$1,0,0)),0))*$B8*$D8*$E8^(K$2-1),1),0)</f>
        <v>0</v>
      </c>
      <c r="L8" s="47">
        <f>IF(CEILING($B8*$D8/3,1)&gt;=L$2,CEILING($F$1*IF($Y$6*$AD$6&gt;=$I$1,1,IF($Y$6*$AD$6&gt;=$H$1,0.5,0))*(1+IF($N$6=$D$1,IF($Y$6*$AD$6&gt;=$K$1,0,IF($Y$6*$AD$6&gt;=$J$1,0,0)),0))*$B8*$D8*$E8^(L$2-1),1),0)</f>
        <v>0</v>
      </c>
      <c r="M8" s="47">
        <f>IF(CEILING($B8*$D8/3,1)&gt;=M$2,CEILING($F$1*IF($Y$6*$AD$6&gt;=$I$1,1,IF($Y$6*$AD$6&gt;=$H$1,0.5,0))*(1+IF($N$6=$D$1,IF($Y$6*$AD$6&gt;=$K$1,0,IF($Y$6*$AD$6&gt;=$J$1,0,0)),0))*$B8*$D8*$E8^(M$2-1),1),0)</f>
        <v>0</v>
      </c>
      <c r="N8" s="47">
        <f>IF(CEILING($B8*$D8/3,1)&gt;=N$2,CEILING($F$1*IF($Y$6*$AD$6&gt;=$I$1,1,IF($Y$6*$AD$6&gt;=$H$1,0.5,0))*(1+IF($N$6=$D$1,IF($Y$6*$AD$6&gt;=$K$1,0,IF($Y$6*$AD$6&gt;=$J$1,0,0)),0))*$B8*$D8*$E8^(N$2-1),1),0)</f>
        <v>0</v>
      </c>
      <c r="O8" s="47">
        <f>IF(CEILING($B8*$D8/3,1)&gt;=O$2,CEILING($F$1*IF($Y$6*$AD$6&gt;=$I$1,1,IF($Y$6*$AD$6&gt;=$H$1,0.5,0))*(1+IF($N$6=$D$1,IF($Y$6*$AD$6&gt;=$K$1,0,IF($Y$6*$AD$6&gt;=$J$1,0,0)),0))*$B8*$D8*$E8^(O$2-1),1),0)</f>
        <v>0</v>
      </c>
      <c r="P8" s="47">
        <f>IF(CEILING($B8*$D8/3,1)&gt;=P$2,CEILING($F$1*IF($Y$6*$AD$6&gt;=$I$1,1,IF($Y$6*$AD$6&gt;=$H$1,0.5,0))*(1+IF($N$6=$D$1,IF($Y$6*$AD$6&gt;=$K$1,0,IF($Y$6*$AD$6&gt;=$J$1,0,0)),0))*$B8*$D8*$E8^(P$2-1),1),0)</f>
        <v>0</v>
      </c>
      <c r="Q8" s="47">
        <f>IF(CEILING($B8*$D8/3,1)&gt;=Q$2,CEILING($F$1*IF($Y$6*$AD$6&gt;=$I$1,1,IF($Y$6*$AD$6&gt;=$H$1,0.5,0))*(1+IF($N$6=$D$1,IF($Y$6*$AD$6&gt;=$K$1,0,IF($Y$6*$AD$6&gt;=$J$1,0,0)),0))*$B8*$D8*$E8^(Q$2-1),1),0)</f>
        <v>0</v>
      </c>
      <c r="R8" s="47">
        <f>IF(CEILING($B8*$D8/3,1)&gt;=R$2,CEILING($F$1*IF($Y$6*$AD$6&gt;=$I$1,1,IF($Y$6*$AD$6&gt;=$H$1,0.5,0))*(1+IF($N$6=$D$1,IF($Y$6*$AD$6&gt;=$K$1,0,IF($Y$6*$AD$6&gt;=$J$1,0,0)),0))*$B8*$D8*$E8^(R$2-1),1),0)</f>
        <v>0</v>
      </c>
      <c r="S8" s="47">
        <f>IF(CEILING($B8*$D8/3,1)&gt;=S$2,CEILING($F$1*IF($Y$6*$AD$6&gt;=$I$1,1,IF($Y$6*$AD$6&gt;=$H$1,0.5,0))*(1+IF($N$6=$D$1,IF($Y$6*$AD$6&gt;=$K$1,0,IF($Y$6*$AD$6&gt;=$J$1,0,0)),0))*$B8*$D8*$E8^(S$2-1),1),0)</f>
        <v>0</v>
      </c>
      <c r="T8" s="47">
        <f>IF(CEILING($B8*$D8/3,1)&gt;=T$2,CEILING($F$1*IF($Y$6*$AD$6&gt;=$I$1,1,IF($Y$6*$AD$6&gt;=$H$1,0.5,0))*(1+IF($N$6=$D$1,IF($Y$6*$AD$6&gt;=$K$1,0,IF($Y$6*$AD$6&gt;=$J$1,0,0)),0))*$B8*$D8*$E8^(T$2-1),1),0)</f>
        <v>0</v>
      </c>
      <c r="U8" s="47">
        <f>IF(CEILING($B8*$D8/3,1)&gt;=U$2,CEILING($F$1*IF($Y$6*$AD$6&gt;=$I$1,1,IF($Y$6*$AD$6&gt;=$H$1,0.5,0))*(1+IF($N$6=$D$1,IF($Y$6*$AD$6&gt;=$K$1,0,IF($Y$6*$AD$6&gt;=$J$1,0,0)),0))*$B8*$D8*$E8^(U$2-1),1),0)</f>
        <v>0</v>
      </c>
      <c r="V8" s="47">
        <f>IF(CEILING($B8*$D8/3,1)&gt;=V$2,CEILING($F$1*IF($Y$6*$AD$6&gt;=$I$1,1,IF($Y$6*$AD$6&gt;=$H$1,0.5,0))*(1+IF($N$6=$D$1,IF($Y$6*$AD$6&gt;=$K$1,0,IF($Y$6*$AD$6&gt;=$J$1,0,0)),0))*$B8*$D8*$E8^(V$2-1),1),0)</f>
        <v>0</v>
      </c>
      <c r="W8" s="47">
        <f>IF(CEILING($B8*$D8/3,1)&gt;=W$2,CEILING($F$1*IF($Y$6*$AD$6&gt;=$I$1,1,IF($Y$6*$AD$6&gt;=$H$1,0.5,0))*(1+IF($N$6=$D$1,IF($Y$6*$AD$6&gt;=$K$1,0,IF($Y$6*$AD$6&gt;=$J$1,0,0)),0))*$B8*$D8*$E8^(W$2-1),1),0)</f>
        <v>0</v>
      </c>
      <c r="X8" s="47">
        <f>IF(CEILING($B8*$D8/3,1)&gt;=X$2,CEILING($F$1*IF($Y$6*$AD$6&gt;=$I$1,1,IF($Y$6*$AD$6&gt;=$H$1,0.5,0))*(1+IF($N$6=$D$1,IF($Y$6*$AD$6&gt;=$K$1,0,IF($Y$6*$AD$6&gt;=$J$1,0,0)),0))*$B8*$D8*$E8^(X$2-1),1),0)</f>
        <v>0</v>
      </c>
      <c r="Y8" s="47">
        <f>IF(CEILING($B8*$D8/3,1)&gt;=Y$2,CEILING($F$1*IF($Y$6*$AD$6&gt;=$I$1,1,IF($Y$6*$AD$6&gt;=$H$1,0.5,0))*(1+IF($N$6=$D$1,IF($Y$6*$AD$6&gt;=$K$1,0,IF($Y$6*$AD$6&gt;=$J$1,0,0)),0))*$B8*$D8*$E8^(Y$2-1),1),0)</f>
        <v>0</v>
      </c>
      <c r="Z8" s="47">
        <f>IF(CEILING($B8*$D8/3,1)&gt;=Z$2,CEILING($F$1*IF($Y$6*$AD$6&gt;=$I$1,1,IF($Y$6*$AD$6&gt;=$H$1,0.5,0))*(1+IF($N$6=$D$1,IF($Y$6*$AD$6&gt;=$K$1,0,IF($Y$6*$AD$6&gt;=$J$1,0,0)),0))*$B8*$D8*$E8^(Z$2-1),1),0)</f>
        <v>0</v>
      </c>
      <c r="AA8" s="47">
        <f>IF(CEILING($B8*$D8/3,1)&gt;=AA$2,CEILING($F$1*IF($Y$6*$AD$6&gt;=$I$1,1,IF($Y$6*$AD$6&gt;=$H$1,0.5,0))*(1+IF($N$6=$D$1,IF($Y$6*$AD$6&gt;=$K$1,0,IF($Y$6*$AD$6&gt;=$J$1,0,0)),0))*$B8*$D8*$E8^(AA$2-1),1),0)</f>
        <v>0</v>
      </c>
      <c r="AB8" s="47">
        <f>IF(CEILING($B8*$D8/3,1)&gt;=AB$2,CEILING($F$1*IF($Y$6*$AD$6&gt;=$I$1,1,IF($Y$6*$AD$6&gt;=$H$1,0.5,0))*(1+IF($N$6=$D$1,IF($Y$6*$AD$6&gt;=$K$1,0,IF($Y$6*$AD$6&gt;=$J$1,0,0)),0))*$B8*$D8*$E8^(AB$2-1),1),0)</f>
        <v>0</v>
      </c>
      <c r="AC8" s="47">
        <f>IF(CEILING($B8*$D8/3,1)&gt;=AC$2,CEILING($F$1*IF($Y$6*$AD$6&gt;=$I$1,1,IF($Y$6*$AD$6&gt;=$H$1,0.5,0))*(1+IF($N$6=$D$1,IF($Y$6*$AD$6&gt;=$K$1,0,IF($Y$6*$AD$6&gt;=$J$1,0,0)),0))*$B8*$D8*$E8^(AC$2-1),1),0)</f>
        <v>0</v>
      </c>
      <c r="AD8" s="47">
        <f>IF(CEILING($B8*$D8/3,1)&gt;=AD$2,CEILING($F$1*IF($Y$6*$AD$6&gt;=$I$1,1,IF($Y$6*$AD$6&gt;=$H$1,0.5,0))*(1+IF($N$6=$D$1,IF($Y$6*$AD$6&gt;=$K$1,0,IF($Y$6*$AD$6&gt;=$J$1,0,0)),0))*$B8*$D8*$E8^(AD$2-1),1),0)</f>
        <v>0</v>
      </c>
      <c r="AE8" s="47">
        <f>IF(CEILING($B8*$D8/3,1)&gt;=AE$2,CEILING($F$1*IF($Y$6*$AD$6&gt;=$I$1,1,IF($Y$6*$AD$6&gt;=$H$1,0.5,0))*(1+IF($N$6=$D$1,IF($Y$6*$AD$6&gt;=$K$1,0,IF($Y$6*$AD$6&gt;=$J$1,0,0)),0))*$B8*$D8*$E8^(AE$2-1),1),0)</f>
        <v>0</v>
      </c>
      <c r="AF8" s="47">
        <f>IF(CEILING($B8*$D8/3,1)&gt;=AF$2,CEILING($F$1*IF($Y$6*$AD$6&gt;=$I$1,1,IF($Y$6*$AD$6&gt;=$H$1,0.5,0))*(1+IF($N$6=$D$1,IF($Y$6*$AD$6&gt;=$K$1,0,IF($Y$6*$AD$6&gt;=$J$1,0,0)),0))*$B8*$D8*$E8^(AF$2-1),1),0)</f>
        <v>0</v>
      </c>
      <c r="AG8" s="47">
        <f>IF(CEILING($B8*$D8/3,1)&gt;=AG$2,CEILING($F$1*IF($Y$6*$AD$6&gt;=$I$1,1,IF($Y$6*$AD$6&gt;=$H$1,0.5,0))*(1+IF($N$6=$D$1,IF($Y$6*$AD$6&gt;=$K$1,0,IF($Y$6*$AD$6&gt;=$J$1,0,0)),0))*$B8*$D8*$E8^(AG$2-1),1),0)</f>
        <v>0</v>
      </c>
      <c r="AH8" s="47">
        <f>IF(CEILING($B8*$D8/3,1)&gt;=AH$2,CEILING($F$1*IF($Y$6*$AD$6&gt;=$I$1,1,IF($Y$6*$AD$6&gt;=$H$1,0.5,0))*(1+IF($N$6=$D$1,IF($Y$6*$AD$6&gt;=$K$1,0,IF($Y$6*$AD$6&gt;=$J$1,0,0)),0))*$B8*$D8*$E8^(AH$2-1),1),0)</f>
        <v>0</v>
      </c>
      <c r="AI8" s="48">
        <f>IF(CEILING($B8*$D8/3,1)&gt;=AI$2,CEILING($F$1*IF($Y$6*$AD$6&gt;=$I$1,1,IF($Y$6*$AD$6&gt;=$H$1,0.5,0))*(1+IF($N$6=$D$1,IF($Y$6*$AD$6&gt;=$K$1,0,IF($Y$6*$AD$6&gt;=$J$1,0,0)),0))*$B8*$D8*$E8^(AI$2-1),1),0)</f>
        <v>0</v>
      </c>
    </row>
    <row r="9" spans="1:35" ht="15" customHeight="1" x14ac:dyDescent="0.25">
      <c r="A9" s="58"/>
      <c r="B9" s="60"/>
      <c r="C9" s="6"/>
      <c r="D9" s="68"/>
      <c r="E9" s="64"/>
      <c r="F9" s="49"/>
      <c r="G9" s="49"/>
      <c r="H9" s="49"/>
      <c r="I9" s="49"/>
      <c r="J9" s="50"/>
      <c r="K9" s="50"/>
      <c r="L9" s="50"/>
      <c r="M9" s="50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51"/>
    </row>
    <row r="10" spans="1:35" x14ac:dyDescent="0.25">
      <c r="A10" s="58"/>
      <c r="B10" s="60"/>
      <c r="C10" s="6"/>
      <c r="D10" s="68"/>
      <c r="E10" s="64"/>
      <c r="F10" s="117" t="s">
        <v>11</v>
      </c>
      <c r="G10" s="117"/>
      <c r="H10" s="117"/>
      <c r="I10" s="36">
        <v>3</v>
      </c>
      <c r="J10" s="113" t="s">
        <v>3</v>
      </c>
      <c r="K10" s="113"/>
      <c r="L10" s="113"/>
      <c r="M10" s="113"/>
      <c r="N10" s="118" t="s">
        <v>5</v>
      </c>
      <c r="O10" s="118"/>
      <c r="P10" s="115" t="s">
        <v>1</v>
      </c>
      <c r="Q10" s="115"/>
      <c r="R10" s="115"/>
      <c r="S10" s="115"/>
      <c r="T10" s="15">
        <v>10</v>
      </c>
      <c r="U10" s="116" t="s">
        <v>2</v>
      </c>
      <c r="V10" s="116"/>
      <c r="W10" s="116"/>
      <c r="X10" s="116"/>
      <c r="Y10" s="15">
        <v>9</v>
      </c>
      <c r="Z10" s="116" t="s">
        <v>4</v>
      </c>
      <c r="AA10" s="116"/>
      <c r="AB10" s="116"/>
      <c r="AC10" s="116"/>
      <c r="AD10" s="15">
        <v>3</v>
      </c>
      <c r="AE10" s="26"/>
      <c r="AF10" s="26"/>
      <c r="AG10" s="26"/>
      <c r="AH10" s="26"/>
      <c r="AI10" s="27"/>
    </row>
    <row r="11" spans="1:35" x14ac:dyDescent="0.25">
      <c r="A11" s="58">
        <v>1</v>
      </c>
      <c r="B11" s="60">
        <v>1.1499999999999999</v>
      </c>
      <c r="C11" s="16">
        <v>0</v>
      </c>
      <c r="D11" s="67">
        <f>CEILING(1+MIN(T$10-C11-1,$L$1)+(T$10-C11-1-MIN(T$10-C11-1,$L$1))/$M$1,1)</f>
        <v>10</v>
      </c>
      <c r="E11" s="63">
        <f>MAX(($G$1/($F$1*D11))^(1/(ROUNDUP(D11/3,)-1)),2/3)</f>
        <v>0.66666666666666663</v>
      </c>
      <c r="F11" s="47">
        <f>IF(CEILING($B11*$D11/3,1)&gt;=F$2,CEILING($F$1*IF($Y$10*$AD$10&gt;=$I$1,1,IF($Y$10*$AD$10&gt;=$H$1,0.5,0))*(1+IF($N$10=$D$1,IF($Y$10*$AD$10&gt;=$K$1,0,IF($Y$10*$AD$10&gt;=$J$1,0,0)),0))*$B11*$D11*$E11^(F$2-1),1),0)</f>
        <v>35</v>
      </c>
      <c r="G11" s="47">
        <f>IF(CEILING($B11*$D11/3,1)&gt;=G$2,CEILING($F$1*IF($Y$10*$AD$10&gt;=$I$1,1,IF($Y$10*$AD$10&gt;=$H$1,0.5,0))*(1+IF($N$10=$D$1,IF($Y$10*$AD$10&gt;=$K$1,0,IF($Y$10*$AD$10&gt;=$J$1,0,0)),0))*$B11*$D11*$E11^(G$2-1),1),0)</f>
        <v>23</v>
      </c>
      <c r="H11" s="47">
        <f>IF(CEILING($B11*$D11/3,1)&gt;=H$2,CEILING($F$1*IF($Y$10*$AD$10&gt;=$I$1,1,IF($Y$10*$AD$10&gt;=$H$1,0.5,0))*(1+IF($N$10=$D$1,IF($Y$10*$AD$10&gt;=$K$1,0,IF($Y$10*$AD$10&gt;=$J$1,0,0)),0))*$B11*$D11*$E11^(H$2-1),1),0)</f>
        <v>16</v>
      </c>
      <c r="I11" s="47">
        <f>IF(CEILING($B11*$D11/3,1)&gt;=I$2,CEILING($F$1*IF($Y$10*$AD$10&gt;=$I$1,1,IF($Y$10*$AD$10&gt;=$H$1,0.5,0))*(1+IF($N$10=$D$1,IF($Y$10*$AD$10&gt;=$K$1,0,IF($Y$10*$AD$10&gt;=$J$1,0,0)),0))*$B11*$D11*$E11^(I$2-1),1),0)</f>
        <v>11</v>
      </c>
      <c r="J11" s="47">
        <f>IF(CEILING($B11*$D11/3,1)&gt;=J$2,CEILING($F$1*IF($Y$10*$AD$10&gt;=$I$1,1,IF($Y$10*$AD$10&gt;=$H$1,0.5,0))*(1+IF($N$10=$D$1,IF($Y$10*$AD$10&gt;=$K$1,0,IF($Y$10*$AD$10&gt;=$J$1,0,0)),0))*$B11*$D11*$E11^(J$2-1),1),0)</f>
        <v>0</v>
      </c>
      <c r="K11" s="47">
        <f>IF(CEILING($B11*$D11/3,1)&gt;=K$2,CEILING($F$1*IF($Y$10*$AD$10&gt;=$I$1,1,IF($Y$10*$AD$10&gt;=$H$1,0.5,0))*(1+IF($N$10=$D$1,IF($Y$10*$AD$10&gt;=$K$1,0,IF($Y$10*$AD$10&gt;=$J$1,0,0)),0))*$B11*$D11*$E11^(K$2-1),1),0)</f>
        <v>0</v>
      </c>
      <c r="L11" s="47">
        <f>IF(CEILING($B11*$D11/3,1)&gt;=L$2,CEILING($F$1*IF($Y$10*$AD$10&gt;=$I$1,1,IF($Y$10*$AD$10&gt;=$H$1,0.5,0))*(1+IF($N$10=$D$1,IF($Y$10*$AD$10&gt;=$K$1,0,IF($Y$10*$AD$10&gt;=$J$1,0,0)),0))*$B11*$D11*$E11^(L$2-1),1),0)</f>
        <v>0</v>
      </c>
      <c r="M11" s="47">
        <f>IF(CEILING($B11*$D11/3,1)&gt;=M$2,CEILING($F$1*IF($Y$10*$AD$10&gt;=$I$1,1,IF($Y$10*$AD$10&gt;=$H$1,0.5,0))*(1+IF($N$10=$D$1,IF($Y$10*$AD$10&gt;=$K$1,0,IF($Y$10*$AD$10&gt;=$J$1,0,0)),0))*$B11*$D11*$E11^(M$2-1),1),0)</f>
        <v>0</v>
      </c>
      <c r="N11" s="47">
        <f>IF(CEILING($B11*$D11/3,1)&gt;=N$2,CEILING($F$1*IF($Y$10*$AD$10&gt;=$I$1,1,IF($Y$10*$AD$10&gt;=$H$1,0.5,0))*(1+IF($N$10=$D$1,IF($Y$10*$AD$10&gt;=$K$1,0,IF($Y$10*$AD$10&gt;=$J$1,0,0)),0))*$B11*$D11*$E11^(N$2-1),1),0)</f>
        <v>0</v>
      </c>
      <c r="O11" s="47">
        <f>IF(CEILING($B11*$D11/3,1)&gt;=O$2,CEILING($F$1*IF($Y$10*$AD$10&gt;=$I$1,1,IF($Y$10*$AD$10&gt;=$H$1,0.5,0))*(1+IF($N$10=$D$1,IF($Y$10*$AD$10&gt;=$K$1,0,IF($Y$10*$AD$10&gt;=$J$1,0,0)),0))*$B11*$D11*$E11^(O$2-1),1),0)</f>
        <v>0</v>
      </c>
      <c r="P11" s="47">
        <f>IF(CEILING($B11*$D11/3,1)&gt;=P$2,CEILING($F$1*IF($Y$10*$AD$10&gt;=$I$1,1,IF($Y$10*$AD$10&gt;=$H$1,0.5,0))*(1+IF($N$10=$D$1,IF($Y$10*$AD$10&gt;=$K$1,0,IF($Y$10*$AD$10&gt;=$J$1,0,0)),0))*$B11*$D11*$E11^(P$2-1),1),0)</f>
        <v>0</v>
      </c>
      <c r="Q11" s="47">
        <f>IF(CEILING($B11*$D11/3,1)&gt;=Q$2,CEILING($F$1*IF($Y$10*$AD$10&gt;=$I$1,1,IF($Y$10*$AD$10&gt;=$H$1,0.5,0))*(1+IF($N$10=$D$1,IF($Y$10*$AD$10&gt;=$K$1,0,IF($Y$10*$AD$10&gt;=$J$1,0,0)),0))*$B11*$D11*$E11^(Q$2-1),1),0)</f>
        <v>0</v>
      </c>
      <c r="R11" s="47">
        <f>IF(CEILING($B11*$D11/3,1)&gt;=R$2,CEILING($F$1*IF($Y$10*$AD$10&gt;=$I$1,1,IF($Y$10*$AD$10&gt;=$H$1,0.5,0))*(1+IF($N$10=$D$1,IF($Y$10*$AD$10&gt;=$K$1,0,IF($Y$10*$AD$10&gt;=$J$1,0,0)),0))*$B11*$D11*$E11^(R$2-1),1),0)</f>
        <v>0</v>
      </c>
      <c r="S11" s="47">
        <f>IF(CEILING($B11*$D11/3,1)&gt;=S$2,CEILING($F$1*IF($Y$10*$AD$10&gt;=$I$1,1,IF($Y$10*$AD$10&gt;=$H$1,0.5,0))*(1+IF($N$10=$D$1,IF($Y$10*$AD$10&gt;=$K$1,0,IF($Y$10*$AD$10&gt;=$J$1,0,0)),0))*$B11*$D11*$E11^(S$2-1),1),0)</f>
        <v>0</v>
      </c>
      <c r="T11" s="47">
        <f>IF(CEILING($B11*$D11/3,1)&gt;=T$2,CEILING($F$1*IF($Y$10*$AD$10&gt;=$I$1,1,IF($Y$10*$AD$10&gt;=$H$1,0.5,0))*(1+IF($N$10=$D$1,IF($Y$10*$AD$10&gt;=$K$1,0,IF($Y$10*$AD$10&gt;=$J$1,0,0)),0))*$B11*$D11*$E11^(T$2-1),1),0)</f>
        <v>0</v>
      </c>
      <c r="U11" s="47">
        <f>IF(CEILING($B11*$D11/3,1)&gt;=U$2,CEILING($F$1*IF($Y$10*$AD$10&gt;=$I$1,1,IF($Y$10*$AD$10&gt;=$H$1,0.5,0))*(1+IF($N$10=$D$1,IF($Y$10*$AD$10&gt;=$K$1,0,IF($Y$10*$AD$10&gt;=$J$1,0,0)),0))*$B11*$D11*$E11^(U$2-1),1),0)</f>
        <v>0</v>
      </c>
      <c r="V11" s="47">
        <f>IF(CEILING($B11*$D11/3,1)&gt;=V$2,CEILING($F$1*IF($Y$10*$AD$10&gt;=$I$1,1,IF($Y$10*$AD$10&gt;=$H$1,0.5,0))*(1+IF($N$10=$D$1,IF($Y$10*$AD$10&gt;=$K$1,0,IF($Y$10*$AD$10&gt;=$J$1,0,0)),0))*$B11*$D11*$E11^(V$2-1),1),0)</f>
        <v>0</v>
      </c>
      <c r="W11" s="47">
        <f>IF(CEILING($B11*$D11/3,1)&gt;=W$2,CEILING($F$1*IF($Y$10*$AD$10&gt;=$I$1,1,IF($Y$10*$AD$10&gt;=$H$1,0.5,0))*(1+IF($N$10=$D$1,IF($Y$10*$AD$10&gt;=$K$1,0,IF($Y$10*$AD$10&gt;=$J$1,0,0)),0))*$B11*$D11*$E11^(W$2-1),1),0)</f>
        <v>0</v>
      </c>
      <c r="X11" s="47">
        <f>IF(CEILING($B11*$D11/3,1)&gt;=X$2,CEILING($F$1*IF($Y$10*$AD$10&gt;=$I$1,1,IF($Y$10*$AD$10&gt;=$H$1,0.5,0))*(1+IF($N$10=$D$1,IF($Y$10*$AD$10&gt;=$K$1,0,IF($Y$10*$AD$10&gt;=$J$1,0,0)),0))*$B11*$D11*$E11^(X$2-1),1),0)</f>
        <v>0</v>
      </c>
      <c r="Y11" s="47">
        <f>IF(CEILING($B11*$D11/3,1)&gt;=Y$2,CEILING($F$1*IF($Y$10*$AD$10&gt;=$I$1,1,IF($Y$10*$AD$10&gt;=$H$1,0.5,0))*(1+IF($N$10=$D$1,IF($Y$10*$AD$10&gt;=$K$1,0,IF($Y$10*$AD$10&gt;=$J$1,0,0)),0))*$B11*$D11*$E11^(Y$2-1),1),0)</f>
        <v>0</v>
      </c>
      <c r="Z11" s="47">
        <f>IF(CEILING($B11*$D11/3,1)&gt;=Z$2,CEILING($F$1*IF($Y$10*$AD$10&gt;=$I$1,1,IF($Y$10*$AD$10&gt;=$H$1,0.5,0))*(1+IF($N$10=$D$1,IF($Y$10*$AD$10&gt;=$K$1,0,IF($Y$10*$AD$10&gt;=$J$1,0,0)),0))*$B11*$D11*$E11^(Z$2-1),1),0)</f>
        <v>0</v>
      </c>
      <c r="AA11" s="47">
        <f>IF(CEILING($B11*$D11/3,1)&gt;=AA$2,CEILING($F$1*IF($Y$10*$AD$10&gt;=$I$1,1,IF($Y$10*$AD$10&gt;=$H$1,0.5,0))*(1+IF($N$10=$D$1,IF($Y$10*$AD$10&gt;=$K$1,0,IF($Y$10*$AD$10&gt;=$J$1,0,0)),0))*$B11*$D11*$E11^(AA$2-1),1),0)</f>
        <v>0</v>
      </c>
      <c r="AB11" s="47">
        <f>IF(CEILING($B11*$D11/3,1)&gt;=AB$2,CEILING($F$1*IF($Y$10*$AD$10&gt;=$I$1,1,IF($Y$10*$AD$10&gt;=$H$1,0.5,0))*(1+IF($N$10=$D$1,IF($Y$10*$AD$10&gt;=$K$1,0,IF($Y$10*$AD$10&gt;=$J$1,0,0)),0))*$B11*$D11*$E11^(AB$2-1),1),0)</f>
        <v>0</v>
      </c>
      <c r="AC11" s="47">
        <f>IF(CEILING($B11*$D11/3,1)&gt;=AC$2,CEILING($F$1*IF($Y$10*$AD$10&gt;=$I$1,1,IF($Y$10*$AD$10&gt;=$H$1,0.5,0))*(1+IF($N$10=$D$1,IF($Y$10*$AD$10&gt;=$K$1,0,IF($Y$10*$AD$10&gt;=$J$1,0,0)),0))*$B11*$D11*$E11^(AC$2-1),1),0)</f>
        <v>0</v>
      </c>
      <c r="AD11" s="47">
        <f>IF(CEILING($B11*$D11/3,1)&gt;=AD$2,CEILING($F$1*IF($Y$10*$AD$10&gt;=$I$1,1,IF($Y$10*$AD$10&gt;=$H$1,0.5,0))*(1+IF($N$10=$D$1,IF($Y$10*$AD$10&gt;=$K$1,0,IF($Y$10*$AD$10&gt;=$J$1,0,0)),0))*$B11*$D11*$E11^(AD$2-1),1),0)</f>
        <v>0</v>
      </c>
      <c r="AE11" s="47">
        <f>IF(CEILING($B11*$D11/3,1)&gt;=AE$2,CEILING($F$1*IF($Y$10*$AD$10&gt;=$I$1,1,IF($Y$10*$AD$10&gt;=$H$1,0.5,0))*(1+IF($N$10=$D$1,IF($Y$10*$AD$10&gt;=$K$1,0,IF($Y$10*$AD$10&gt;=$J$1,0,0)),0))*$B11*$D11*$E11^(AE$2-1),1),0)</f>
        <v>0</v>
      </c>
      <c r="AF11" s="47">
        <f>IF(CEILING($B11*$D11/3,1)&gt;=AF$2,CEILING($F$1*IF($Y$10*$AD$10&gt;=$I$1,1,IF($Y$10*$AD$10&gt;=$H$1,0.5,0))*(1+IF($N$10=$D$1,IF($Y$10*$AD$10&gt;=$K$1,0,IF($Y$10*$AD$10&gt;=$J$1,0,0)),0))*$B11*$D11*$E11^(AF$2-1),1),0)</f>
        <v>0</v>
      </c>
      <c r="AG11" s="47">
        <f>IF(CEILING($B11*$D11/3,1)&gt;=AG$2,CEILING($F$1*IF($Y$10*$AD$10&gt;=$I$1,1,IF($Y$10*$AD$10&gt;=$H$1,0.5,0))*(1+IF($N$10=$D$1,IF($Y$10*$AD$10&gt;=$K$1,0,IF($Y$10*$AD$10&gt;=$J$1,0,0)),0))*$B11*$D11*$E11^(AG$2-1),1),0)</f>
        <v>0</v>
      </c>
      <c r="AH11" s="47">
        <f>IF(CEILING($B11*$D11/3,1)&gt;=AH$2,CEILING($F$1*IF($Y$10*$AD$10&gt;=$I$1,1,IF($Y$10*$AD$10&gt;=$H$1,0.5,0))*(1+IF($N$10=$D$1,IF($Y$10*$AD$10&gt;=$K$1,0,IF($Y$10*$AD$10&gt;=$J$1,0,0)),0))*$B11*$D11*$E11^(AH$2-1),1),0)</f>
        <v>0</v>
      </c>
      <c r="AI11" s="48">
        <f>IF(CEILING($B11*$D11/3,1)&gt;=AI$2,CEILING($F$1*IF($Y$10*$AD$10&gt;=$I$1,1,IF($Y$10*$AD$10&gt;=$H$1,0.5,0))*(1+IF($N$10=$D$1,IF($Y$10*$AD$10&gt;=$K$1,0,IF($Y$10*$AD$10&gt;=$J$1,0,0)),0))*$B11*$D11*$E11^(AI$2-1),1),0)</f>
        <v>0</v>
      </c>
    </row>
    <row r="12" spans="1:35" x14ac:dyDescent="0.25">
      <c r="A12" s="58">
        <v>2</v>
      </c>
      <c r="B12" s="60">
        <v>1</v>
      </c>
      <c r="C12" s="16">
        <v>0</v>
      </c>
      <c r="D12" s="67">
        <f>CEILING(1+MIN(T$10-C12-1,$L$1)+(T$10-C12-1-MIN(T$10-C12-1,$L$1))/$M$1,1)</f>
        <v>10</v>
      </c>
      <c r="E12" s="63">
        <f>MAX(($G$1/($F$1*D12))^(1/(ROUNDUP(D12/3,)-1)),2/3)</f>
        <v>0.66666666666666663</v>
      </c>
      <c r="F12" s="47">
        <f>IF(CEILING($B12*$D12/3,1)&gt;=F$2,CEILING($F$1*IF($Y$10*$AD$10&gt;=$I$1,1,IF($Y$10*$AD$10&gt;=$H$1,0.5,0))*(1+IF($N$10=$D$1,IF($Y$10*$AD$10&gt;=$K$1,0,IF($Y$10*$AD$10&gt;=$J$1,0,0)),0))*$B12*$D12*$E12^(F$2-1),1),0)</f>
        <v>30</v>
      </c>
      <c r="G12" s="47">
        <f>IF(CEILING($B12*$D12/3,1)&gt;=G$2,CEILING($F$1*IF($Y$10*$AD$10&gt;=$I$1,1,IF($Y$10*$AD$10&gt;=$H$1,0.5,0))*(1+IF($N$10=$D$1,IF($Y$10*$AD$10&gt;=$K$1,0,IF($Y$10*$AD$10&gt;=$J$1,0,0)),0))*$B12*$D12*$E12^(G$2-1),1),0)</f>
        <v>20</v>
      </c>
      <c r="H12" s="47">
        <f>IF(CEILING($B12*$D12/3,1)&gt;=H$2,CEILING($F$1*IF($Y$10*$AD$10&gt;=$I$1,1,IF($Y$10*$AD$10&gt;=$H$1,0.5,0))*(1+IF($N$10=$D$1,IF($Y$10*$AD$10&gt;=$K$1,0,IF($Y$10*$AD$10&gt;=$J$1,0,0)),0))*$B12*$D12*$E12^(H$2-1),1),0)</f>
        <v>14</v>
      </c>
      <c r="I12" s="47">
        <f>IF(CEILING($B12*$D12/3,1)&gt;=I$2,CEILING($F$1*IF($Y$10*$AD$10&gt;=$I$1,1,IF($Y$10*$AD$10&gt;=$H$1,0.5,0))*(1+IF($N$10=$D$1,IF($Y$10*$AD$10&gt;=$K$1,0,IF($Y$10*$AD$10&gt;=$J$1,0,0)),0))*$B12*$D12*$E12^(I$2-1),1),0)</f>
        <v>9</v>
      </c>
      <c r="J12" s="47">
        <f>IF(CEILING($B12*$D12/3,1)&gt;=J$2,CEILING($F$1*IF($Y$10*$AD$10&gt;=$I$1,1,IF($Y$10*$AD$10&gt;=$H$1,0.5,0))*(1+IF($N$10=$D$1,IF($Y$10*$AD$10&gt;=$K$1,0,IF($Y$10*$AD$10&gt;=$J$1,0,0)),0))*$B12*$D12*$E12^(J$2-1),1),0)</f>
        <v>0</v>
      </c>
      <c r="K12" s="47">
        <f>IF(CEILING($B12*$D12/3,1)&gt;=K$2,CEILING($F$1*IF($Y$10*$AD$10&gt;=$I$1,1,IF($Y$10*$AD$10&gt;=$H$1,0.5,0))*(1+IF($N$10=$D$1,IF($Y$10*$AD$10&gt;=$K$1,0,IF($Y$10*$AD$10&gt;=$J$1,0,0)),0))*$B12*$D12*$E12^(K$2-1),1),0)</f>
        <v>0</v>
      </c>
      <c r="L12" s="47">
        <f>IF(CEILING($B12*$D12/3,1)&gt;=L$2,CEILING($F$1*IF($Y$10*$AD$10&gt;=$I$1,1,IF($Y$10*$AD$10&gt;=$H$1,0.5,0))*(1+IF($N$10=$D$1,IF($Y$10*$AD$10&gt;=$K$1,0,IF($Y$10*$AD$10&gt;=$J$1,0,0)),0))*$B12*$D12*$E12^(L$2-1),1),0)</f>
        <v>0</v>
      </c>
      <c r="M12" s="47">
        <f>IF(CEILING($B12*$D12/3,1)&gt;=M$2,CEILING($F$1*IF($Y$10*$AD$10&gt;=$I$1,1,IF($Y$10*$AD$10&gt;=$H$1,0.5,0))*(1+IF($N$10=$D$1,IF($Y$10*$AD$10&gt;=$K$1,0,IF($Y$10*$AD$10&gt;=$J$1,0,0)),0))*$B12*$D12*$E12^(M$2-1),1),0)</f>
        <v>0</v>
      </c>
      <c r="N12" s="47">
        <f>IF(CEILING($B12*$D12/3,1)&gt;=N$2,CEILING($F$1*IF($Y$10*$AD$10&gt;=$I$1,1,IF($Y$10*$AD$10&gt;=$H$1,0.5,0))*(1+IF($N$10=$D$1,IF($Y$10*$AD$10&gt;=$K$1,0,IF($Y$10*$AD$10&gt;=$J$1,0,0)),0))*$B12*$D12*$E12^(N$2-1),1),0)</f>
        <v>0</v>
      </c>
      <c r="O12" s="47">
        <f>IF(CEILING($B12*$D12/3,1)&gt;=O$2,CEILING($F$1*IF($Y$10*$AD$10&gt;=$I$1,1,IF($Y$10*$AD$10&gt;=$H$1,0.5,0))*(1+IF($N$10=$D$1,IF($Y$10*$AD$10&gt;=$K$1,0,IF($Y$10*$AD$10&gt;=$J$1,0,0)),0))*$B12*$D12*$E12^(O$2-1),1),0)</f>
        <v>0</v>
      </c>
      <c r="P12" s="47">
        <f>IF(CEILING($B12*$D12/3,1)&gt;=P$2,CEILING($F$1*IF($Y$10*$AD$10&gt;=$I$1,1,IF($Y$10*$AD$10&gt;=$H$1,0.5,0))*(1+IF($N$10=$D$1,IF($Y$10*$AD$10&gt;=$K$1,0,IF($Y$10*$AD$10&gt;=$J$1,0,0)),0))*$B12*$D12*$E12^(P$2-1),1),0)</f>
        <v>0</v>
      </c>
      <c r="Q12" s="47">
        <f>IF(CEILING($B12*$D12/3,1)&gt;=Q$2,CEILING($F$1*IF($Y$10*$AD$10&gt;=$I$1,1,IF($Y$10*$AD$10&gt;=$H$1,0.5,0))*(1+IF($N$10=$D$1,IF($Y$10*$AD$10&gt;=$K$1,0,IF($Y$10*$AD$10&gt;=$J$1,0,0)),0))*$B12*$D12*$E12^(Q$2-1),1),0)</f>
        <v>0</v>
      </c>
      <c r="R12" s="47">
        <f>IF(CEILING($B12*$D12/3,1)&gt;=R$2,CEILING($F$1*IF($Y$10*$AD$10&gt;=$I$1,1,IF($Y$10*$AD$10&gt;=$H$1,0.5,0))*(1+IF($N$10=$D$1,IF($Y$10*$AD$10&gt;=$K$1,0,IF($Y$10*$AD$10&gt;=$J$1,0,0)),0))*$B12*$D12*$E12^(R$2-1),1),0)</f>
        <v>0</v>
      </c>
      <c r="S12" s="47">
        <f>IF(CEILING($B12*$D12/3,1)&gt;=S$2,CEILING($F$1*IF($Y$10*$AD$10&gt;=$I$1,1,IF($Y$10*$AD$10&gt;=$H$1,0.5,0))*(1+IF($N$10=$D$1,IF($Y$10*$AD$10&gt;=$K$1,0,IF($Y$10*$AD$10&gt;=$J$1,0,0)),0))*$B12*$D12*$E12^(S$2-1),1),0)</f>
        <v>0</v>
      </c>
      <c r="T12" s="47">
        <f>IF(CEILING($B12*$D12/3,1)&gt;=T$2,CEILING($F$1*IF($Y$10*$AD$10&gt;=$I$1,1,IF($Y$10*$AD$10&gt;=$H$1,0.5,0))*(1+IF($N$10=$D$1,IF($Y$10*$AD$10&gt;=$K$1,0,IF($Y$10*$AD$10&gt;=$J$1,0,0)),0))*$B12*$D12*$E12^(T$2-1),1),0)</f>
        <v>0</v>
      </c>
      <c r="U12" s="47">
        <f>IF(CEILING($B12*$D12/3,1)&gt;=U$2,CEILING($F$1*IF($Y$10*$AD$10&gt;=$I$1,1,IF($Y$10*$AD$10&gt;=$H$1,0.5,0))*(1+IF($N$10=$D$1,IF($Y$10*$AD$10&gt;=$K$1,0,IF($Y$10*$AD$10&gt;=$J$1,0,0)),0))*$B12*$D12*$E12^(U$2-1),1),0)</f>
        <v>0</v>
      </c>
      <c r="V12" s="47">
        <f>IF(CEILING($B12*$D12/3,1)&gt;=V$2,CEILING($F$1*IF($Y$10*$AD$10&gt;=$I$1,1,IF($Y$10*$AD$10&gt;=$H$1,0.5,0))*(1+IF($N$10=$D$1,IF($Y$10*$AD$10&gt;=$K$1,0,IF($Y$10*$AD$10&gt;=$J$1,0,0)),0))*$B12*$D12*$E12^(V$2-1),1),0)</f>
        <v>0</v>
      </c>
      <c r="W12" s="47">
        <f>IF(CEILING($B12*$D12/3,1)&gt;=W$2,CEILING($F$1*IF($Y$10*$AD$10&gt;=$I$1,1,IF($Y$10*$AD$10&gt;=$H$1,0.5,0))*(1+IF($N$10=$D$1,IF($Y$10*$AD$10&gt;=$K$1,0,IF($Y$10*$AD$10&gt;=$J$1,0,0)),0))*$B12*$D12*$E12^(W$2-1),1),0)</f>
        <v>0</v>
      </c>
      <c r="X12" s="47">
        <f>IF(CEILING($B12*$D12/3,1)&gt;=X$2,CEILING($F$1*IF($Y$10*$AD$10&gt;=$I$1,1,IF($Y$10*$AD$10&gt;=$H$1,0.5,0))*(1+IF($N$10=$D$1,IF($Y$10*$AD$10&gt;=$K$1,0,IF($Y$10*$AD$10&gt;=$J$1,0,0)),0))*$B12*$D12*$E12^(X$2-1),1),0)</f>
        <v>0</v>
      </c>
      <c r="Y12" s="47">
        <f>IF(CEILING($B12*$D12/3,1)&gt;=Y$2,CEILING($F$1*IF($Y$10*$AD$10&gt;=$I$1,1,IF($Y$10*$AD$10&gt;=$H$1,0.5,0))*(1+IF($N$10=$D$1,IF($Y$10*$AD$10&gt;=$K$1,0,IF($Y$10*$AD$10&gt;=$J$1,0,0)),0))*$B12*$D12*$E12^(Y$2-1),1),0)</f>
        <v>0</v>
      </c>
      <c r="Z12" s="47">
        <f>IF(CEILING($B12*$D12/3,1)&gt;=Z$2,CEILING($F$1*IF($Y$10*$AD$10&gt;=$I$1,1,IF($Y$10*$AD$10&gt;=$H$1,0.5,0))*(1+IF($N$10=$D$1,IF($Y$10*$AD$10&gt;=$K$1,0,IF($Y$10*$AD$10&gt;=$J$1,0,0)),0))*$B12*$D12*$E12^(Z$2-1),1),0)</f>
        <v>0</v>
      </c>
      <c r="AA12" s="47">
        <f>IF(CEILING($B12*$D12/3,1)&gt;=AA$2,CEILING($F$1*IF($Y$10*$AD$10&gt;=$I$1,1,IF($Y$10*$AD$10&gt;=$H$1,0.5,0))*(1+IF($N$10=$D$1,IF($Y$10*$AD$10&gt;=$K$1,0,IF($Y$10*$AD$10&gt;=$J$1,0,0)),0))*$B12*$D12*$E12^(AA$2-1),1),0)</f>
        <v>0</v>
      </c>
      <c r="AB12" s="47">
        <f>IF(CEILING($B12*$D12/3,1)&gt;=AB$2,CEILING($F$1*IF($Y$10*$AD$10&gt;=$I$1,1,IF($Y$10*$AD$10&gt;=$H$1,0.5,0))*(1+IF($N$10=$D$1,IF($Y$10*$AD$10&gt;=$K$1,0,IF($Y$10*$AD$10&gt;=$J$1,0,0)),0))*$B12*$D12*$E12^(AB$2-1),1),0)</f>
        <v>0</v>
      </c>
      <c r="AC12" s="47">
        <f>IF(CEILING($B12*$D12/3,1)&gt;=AC$2,CEILING($F$1*IF($Y$10*$AD$10&gt;=$I$1,1,IF($Y$10*$AD$10&gt;=$H$1,0.5,0))*(1+IF($N$10=$D$1,IF($Y$10*$AD$10&gt;=$K$1,0,IF($Y$10*$AD$10&gt;=$J$1,0,0)),0))*$B12*$D12*$E12^(AC$2-1),1),0)</f>
        <v>0</v>
      </c>
      <c r="AD12" s="47">
        <f>IF(CEILING($B12*$D12/3,1)&gt;=AD$2,CEILING($F$1*IF($Y$10*$AD$10&gt;=$I$1,1,IF($Y$10*$AD$10&gt;=$H$1,0.5,0))*(1+IF($N$10=$D$1,IF($Y$10*$AD$10&gt;=$K$1,0,IF($Y$10*$AD$10&gt;=$J$1,0,0)),0))*$B12*$D12*$E12^(AD$2-1),1),0)</f>
        <v>0</v>
      </c>
      <c r="AE12" s="47">
        <f>IF(CEILING($B12*$D12/3,1)&gt;=AE$2,CEILING($F$1*IF($Y$10*$AD$10&gt;=$I$1,1,IF($Y$10*$AD$10&gt;=$H$1,0.5,0))*(1+IF($N$10=$D$1,IF($Y$10*$AD$10&gt;=$K$1,0,IF($Y$10*$AD$10&gt;=$J$1,0,0)),0))*$B12*$D12*$E12^(AE$2-1),1),0)</f>
        <v>0</v>
      </c>
      <c r="AF12" s="47">
        <f>IF(CEILING($B12*$D12/3,1)&gt;=AF$2,CEILING($F$1*IF($Y$10*$AD$10&gt;=$I$1,1,IF($Y$10*$AD$10&gt;=$H$1,0.5,0))*(1+IF($N$10=$D$1,IF($Y$10*$AD$10&gt;=$K$1,0,IF($Y$10*$AD$10&gt;=$J$1,0,0)),0))*$B12*$D12*$E12^(AF$2-1),1),0)</f>
        <v>0</v>
      </c>
      <c r="AG12" s="47">
        <f>IF(CEILING($B12*$D12/3,1)&gt;=AG$2,CEILING($F$1*IF($Y$10*$AD$10&gt;=$I$1,1,IF($Y$10*$AD$10&gt;=$H$1,0.5,0))*(1+IF($N$10=$D$1,IF($Y$10*$AD$10&gt;=$K$1,0,IF($Y$10*$AD$10&gt;=$J$1,0,0)),0))*$B12*$D12*$E12^(AG$2-1),1),0)</f>
        <v>0</v>
      </c>
      <c r="AH12" s="47">
        <f>IF(CEILING($B12*$D12/3,1)&gt;=AH$2,CEILING($F$1*IF($Y$10*$AD$10&gt;=$I$1,1,IF($Y$10*$AD$10&gt;=$H$1,0.5,0))*(1+IF($N$10=$D$1,IF($Y$10*$AD$10&gt;=$K$1,0,IF($Y$10*$AD$10&gt;=$J$1,0,0)),0))*$B12*$D12*$E12^(AH$2-1),1),0)</f>
        <v>0</v>
      </c>
      <c r="AI12" s="48">
        <f>IF(CEILING($B12*$D12/3,1)&gt;=AI$2,CEILING($F$1*IF($Y$10*$AD$10&gt;=$I$1,1,IF($Y$10*$AD$10&gt;=$H$1,0.5,0))*(1+IF($N$10=$D$1,IF($Y$10*$AD$10&gt;=$K$1,0,IF($Y$10*$AD$10&gt;=$J$1,0,0)),0))*$B12*$D12*$E12^(AI$2-1),1),0)</f>
        <v>0</v>
      </c>
    </row>
    <row r="13" spans="1:35" x14ac:dyDescent="0.25">
      <c r="A13" s="58">
        <v>3</v>
      </c>
      <c r="B13" s="60">
        <v>0.85</v>
      </c>
      <c r="C13" s="16">
        <v>0</v>
      </c>
      <c r="D13" s="67">
        <f>CEILING(1+MIN(T$10-C13-1,$L$1)+(T$10-C13-1-MIN(T$10-C13-1,$L$1))/$M$1,1)</f>
        <v>10</v>
      </c>
      <c r="E13" s="63">
        <f>MAX(($G$1/($F$1*D13))^(1/(ROUNDUP(D13/3,)-1)),2/3)</f>
        <v>0.66666666666666663</v>
      </c>
      <c r="F13" s="47">
        <f>IF(CEILING($B13*$D13/3,1)&gt;=F$2,CEILING($F$1*IF($Y$10*$AD$10&gt;=$I$1,1,IF($Y$10*$AD$10&gt;=$H$1,0.5,0))*(1+IF($N$10=$D$1,IF($Y$10*$AD$10&gt;=$K$1,0,IF($Y$10*$AD$10&gt;=$J$1,0,0)),0))*$B13*$D13*$E13^(F$2-1),1),0)</f>
        <v>26</v>
      </c>
      <c r="G13" s="47">
        <f>IF(CEILING($B13*$D13/3,1)&gt;=G$2,CEILING($F$1*IF($Y$10*$AD$10&gt;=$I$1,1,IF($Y$10*$AD$10&gt;=$H$1,0.5,0))*(1+IF($N$10=$D$1,IF($Y$10*$AD$10&gt;=$K$1,0,IF($Y$10*$AD$10&gt;=$J$1,0,0)),0))*$B13*$D13*$E13^(G$2-1),1),0)</f>
        <v>17</v>
      </c>
      <c r="H13" s="47">
        <f>IF(CEILING($B13*$D13/3,1)&gt;=H$2,CEILING($F$1*IF($Y$10*$AD$10&gt;=$I$1,1,IF($Y$10*$AD$10&gt;=$H$1,0.5,0))*(1+IF($N$10=$D$1,IF($Y$10*$AD$10&gt;=$K$1,0,IF($Y$10*$AD$10&gt;=$J$1,0,0)),0))*$B13*$D13*$E13^(H$2-1),1),0)</f>
        <v>12</v>
      </c>
      <c r="I13" s="47">
        <f>IF(CEILING($B13*$D13/3,1)&gt;=I$2,CEILING($F$1*IF($Y$10*$AD$10&gt;=$I$1,1,IF($Y$10*$AD$10&gt;=$H$1,0.5,0))*(1+IF($N$10=$D$1,IF($Y$10*$AD$10&gt;=$K$1,0,IF($Y$10*$AD$10&gt;=$J$1,0,0)),0))*$B13*$D13*$E13^(I$2-1),1),0)</f>
        <v>0</v>
      </c>
      <c r="J13" s="47">
        <f>IF(CEILING($B13*$D13/3,1)&gt;=J$2,CEILING($F$1*IF($Y$10*$AD$10&gt;=$I$1,1,IF($Y$10*$AD$10&gt;=$H$1,0.5,0))*(1+IF($N$10=$D$1,IF($Y$10*$AD$10&gt;=$K$1,0,IF($Y$10*$AD$10&gt;=$J$1,0,0)),0))*$B13*$D13*$E13^(J$2-1),1),0)</f>
        <v>0</v>
      </c>
      <c r="K13" s="47">
        <f>IF(CEILING($B13*$D13/3,1)&gt;=K$2,CEILING($F$1*IF($Y$10*$AD$10&gt;=$I$1,1,IF($Y$10*$AD$10&gt;=$H$1,0.5,0))*(1+IF($N$10=$D$1,IF($Y$10*$AD$10&gt;=$K$1,0,IF($Y$10*$AD$10&gt;=$J$1,0,0)),0))*$B13*$D13*$E13^(K$2-1),1),0)</f>
        <v>0</v>
      </c>
      <c r="L13" s="47">
        <f>IF(CEILING($B13*$D13/3,1)&gt;=L$2,CEILING($F$1*IF($Y$10*$AD$10&gt;=$I$1,1,IF($Y$10*$AD$10&gt;=$H$1,0.5,0))*(1+IF($N$10=$D$1,IF($Y$10*$AD$10&gt;=$K$1,0,IF($Y$10*$AD$10&gt;=$J$1,0,0)),0))*$B13*$D13*$E13^(L$2-1),1),0)</f>
        <v>0</v>
      </c>
      <c r="M13" s="47">
        <f>IF(CEILING($B13*$D13/3,1)&gt;=M$2,CEILING($F$1*IF($Y$10*$AD$10&gt;=$I$1,1,IF($Y$10*$AD$10&gt;=$H$1,0.5,0))*(1+IF($N$10=$D$1,IF($Y$10*$AD$10&gt;=$K$1,0,IF($Y$10*$AD$10&gt;=$J$1,0,0)),0))*$B13*$D13*$E13^(M$2-1),1),0)</f>
        <v>0</v>
      </c>
      <c r="N13" s="47">
        <f>IF(CEILING($B13*$D13/3,1)&gt;=N$2,CEILING($F$1*IF($Y$10*$AD$10&gt;=$I$1,1,IF($Y$10*$AD$10&gt;=$H$1,0.5,0))*(1+IF($N$10=$D$1,IF($Y$10*$AD$10&gt;=$K$1,0,IF($Y$10*$AD$10&gt;=$J$1,0,0)),0))*$B13*$D13*$E13^(N$2-1),1),0)</f>
        <v>0</v>
      </c>
      <c r="O13" s="47">
        <f>IF(CEILING($B13*$D13/3,1)&gt;=O$2,CEILING($F$1*IF($Y$10*$AD$10&gt;=$I$1,1,IF($Y$10*$AD$10&gt;=$H$1,0.5,0))*(1+IF($N$10=$D$1,IF($Y$10*$AD$10&gt;=$K$1,0,IF($Y$10*$AD$10&gt;=$J$1,0,0)),0))*$B13*$D13*$E13^(O$2-1),1),0)</f>
        <v>0</v>
      </c>
      <c r="P13" s="47">
        <f>IF(CEILING($B13*$D13/3,1)&gt;=P$2,CEILING($F$1*IF($Y$10*$AD$10&gt;=$I$1,1,IF($Y$10*$AD$10&gt;=$H$1,0.5,0))*(1+IF($N$10=$D$1,IF($Y$10*$AD$10&gt;=$K$1,0,IF($Y$10*$AD$10&gt;=$J$1,0,0)),0))*$B13*$D13*$E13^(P$2-1),1),0)</f>
        <v>0</v>
      </c>
      <c r="Q13" s="47">
        <f>IF(CEILING($B13*$D13/3,1)&gt;=Q$2,CEILING($F$1*IF($Y$10*$AD$10&gt;=$I$1,1,IF($Y$10*$AD$10&gt;=$H$1,0.5,0))*(1+IF($N$10=$D$1,IF($Y$10*$AD$10&gt;=$K$1,0,IF($Y$10*$AD$10&gt;=$J$1,0,0)),0))*$B13*$D13*$E13^(Q$2-1),1),0)</f>
        <v>0</v>
      </c>
      <c r="R13" s="47">
        <f>IF(CEILING($B13*$D13/3,1)&gt;=R$2,CEILING($F$1*IF($Y$10*$AD$10&gt;=$I$1,1,IF($Y$10*$AD$10&gt;=$H$1,0.5,0))*(1+IF($N$10=$D$1,IF($Y$10*$AD$10&gt;=$K$1,0,IF($Y$10*$AD$10&gt;=$J$1,0,0)),0))*$B13*$D13*$E13^(R$2-1),1),0)</f>
        <v>0</v>
      </c>
      <c r="S13" s="47">
        <f>IF(CEILING($B13*$D13/3,1)&gt;=S$2,CEILING($F$1*IF($Y$10*$AD$10&gt;=$I$1,1,IF($Y$10*$AD$10&gt;=$H$1,0.5,0))*(1+IF($N$10=$D$1,IF($Y$10*$AD$10&gt;=$K$1,0,IF($Y$10*$AD$10&gt;=$J$1,0,0)),0))*$B13*$D13*$E13^(S$2-1),1),0)</f>
        <v>0</v>
      </c>
      <c r="T13" s="47">
        <f>IF(CEILING($B13*$D13/3,1)&gt;=T$2,CEILING($F$1*IF($Y$10*$AD$10&gt;=$I$1,1,IF($Y$10*$AD$10&gt;=$H$1,0.5,0))*(1+IF($N$10=$D$1,IF($Y$10*$AD$10&gt;=$K$1,0,IF($Y$10*$AD$10&gt;=$J$1,0,0)),0))*$B13*$D13*$E13^(T$2-1),1),0)</f>
        <v>0</v>
      </c>
      <c r="U13" s="47">
        <f>IF(CEILING($B13*$D13/3,1)&gt;=U$2,CEILING($F$1*IF($Y$10*$AD$10&gt;=$I$1,1,IF($Y$10*$AD$10&gt;=$H$1,0.5,0))*(1+IF($N$10=$D$1,IF($Y$10*$AD$10&gt;=$K$1,0,IF($Y$10*$AD$10&gt;=$J$1,0,0)),0))*$B13*$D13*$E13^(U$2-1),1),0)</f>
        <v>0</v>
      </c>
      <c r="V13" s="47">
        <f>IF(CEILING($B13*$D13/3,1)&gt;=V$2,CEILING($F$1*IF($Y$10*$AD$10&gt;=$I$1,1,IF($Y$10*$AD$10&gt;=$H$1,0.5,0))*(1+IF($N$10=$D$1,IF($Y$10*$AD$10&gt;=$K$1,0,IF($Y$10*$AD$10&gt;=$J$1,0,0)),0))*$B13*$D13*$E13^(V$2-1),1),0)</f>
        <v>0</v>
      </c>
      <c r="W13" s="47">
        <f>IF(CEILING($B13*$D13/3,1)&gt;=W$2,CEILING($F$1*IF($Y$10*$AD$10&gt;=$I$1,1,IF($Y$10*$AD$10&gt;=$H$1,0.5,0))*(1+IF($N$10=$D$1,IF($Y$10*$AD$10&gt;=$K$1,0,IF($Y$10*$AD$10&gt;=$J$1,0,0)),0))*$B13*$D13*$E13^(W$2-1),1),0)</f>
        <v>0</v>
      </c>
      <c r="X13" s="47">
        <f>IF(CEILING($B13*$D13/3,1)&gt;=X$2,CEILING($F$1*IF($Y$10*$AD$10&gt;=$I$1,1,IF($Y$10*$AD$10&gt;=$H$1,0.5,0))*(1+IF($N$10=$D$1,IF($Y$10*$AD$10&gt;=$K$1,0,IF($Y$10*$AD$10&gt;=$J$1,0,0)),0))*$B13*$D13*$E13^(X$2-1),1),0)</f>
        <v>0</v>
      </c>
      <c r="Y13" s="47">
        <f>IF(CEILING($B13*$D13/3,1)&gt;=Y$2,CEILING($F$1*IF($Y$10*$AD$10&gt;=$I$1,1,IF($Y$10*$AD$10&gt;=$H$1,0.5,0))*(1+IF($N$10=$D$1,IF($Y$10*$AD$10&gt;=$K$1,0,IF($Y$10*$AD$10&gt;=$J$1,0,0)),0))*$B13*$D13*$E13^(Y$2-1),1),0)</f>
        <v>0</v>
      </c>
      <c r="Z13" s="47">
        <f>IF(CEILING($B13*$D13/3,1)&gt;=Z$2,CEILING($F$1*IF($Y$10*$AD$10&gt;=$I$1,1,IF($Y$10*$AD$10&gt;=$H$1,0.5,0))*(1+IF($N$10=$D$1,IF($Y$10*$AD$10&gt;=$K$1,0,IF($Y$10*$AD$10&gt;=$J$1,0,0)),0))*$B13*$D13*$E13^(Z$2-1),1),0)</f>
        <v>0</v>
      </c>
      <c r="AA13" s="47">
        <f>IF(CEILING($B13*$D13/3,1)&gt;=AA$2,CEILING($F$1*IF($Y$10*$AD$10&gt;=$I$1,1,IF($Y$10*$AD$10&gt;=$H$1,0.5,0))*(1+IF($N$10=$D$1,IF($Y$10*$AD$10&gt;=$K$1,0,IF($Y$10*$AD$10&gt;=$J$1,0,0)),0))*$B13*$D13*$E13^(AA$2-1),1),0)</f>
        <v>0</v>
      </c>
      <c r="AB13" s="47">
        <f>IF(CEILING($B13*$D13/3,1)&gt;=AB$2,CEILING($F$1*IF($Y$10*$AD$10&gt;=$I$1,1,IF($Y$10*$AD$10&gt;=$H$1,0.5,0))*(1+IF($N$10=$D$1,IF($Y$10*$AD$10&gt;=$K$1,0,IF($Y$10*$AD$10&gt;=$J$1,0,0)),0))*$B13*$D13*$E13^(AB$2-1),1),0)</f>
        <v>0</v>
      </c>
      <c r="AC13" s="47">
        <f>IF(CEILING($B13*$D13/3,1)&gt;=AC$2,CEILING($F$1*IF($Y$10*$AD$10&gt;=$I$1,1,IF($Y$10*$AD$10&gt;=$H$1,0.5,0))*(1+IF($N$10=$D$1,IF($Y$10*$AD$10&gt;=$K$1,0,IF($Y$10*$AD$10&gt;=$J$1,0,0)),0))*$B13*$D13*$E13^(AC$2-1),1),0)</f>
        <v>0</v>
      </c>
      <c r="AD13" s="47">
        <f>IF(CEILING($B13*$D13/3,1)&gt;=AD$2,CEILING($F$1*IF($Y$10*$AD$10&gt;=$I$1,1,IF($Y$10*$AD$10&gt;=$H$1,0.5,0))*(1+IF($N$10=$D$1,IF($Y$10*$AD$10&gt;=$K$1,0,IF($Y$10*$AD$10&gt;=$J$1,0,0)),0))*$B13*$D13*$E13^(AD$2-1),1),0)</f>
        <v>0</v>
      </c>
      <c r="AE13" s="47">
        <f>IF(CEILING($B13*$D13/3,1)&gt;=AE$2,CEILING($F$1*IF($Y$10*$AD$10&gt;=$I$1,1,IF($Y$10*$AD$10&gt;=$H$1,0.5,0))*(1+IF($N$10=$D$1,IF($Y$10*$AD$10&gt;=$K$1,0,IF($Y$10*$AD$10&gt;=$J$1,0,0)),0))*$B13*$D13*$E13^(AE$2-1),1),0)</f>
        <v>0</v>
      </c>
      <c r="AF13" s="47">
        <f>IF(CEILING($B13*$D13/3,1)&gt;=AF$2,CEILING($F$1*IF($Y$10*$AD$10&gt;=$I$1,1,IF($Y$10*$AD$10&gt;=$H$1,0.5,0))*(1+IF($N$10=$D$1,IF($Y$10*$AD$10&gt;=$K$1,0,IF($Y$10*$AD$10&gt;=$J$1,0,0)),0))*$B13*$D13*$E13^(AF$2-1),1),0)</f>
        <v>0</v>
      </c>
      <c r="AG13" s="47">
        <f>IF(CEILING($B13*$D13/3,1)&gt;=AG$2,CEILING($F$1*IF($Y$10*$AD$10&gt;=$I$1,1,IF($Y$10*$AD$10&gt;=$H$1,0.5,0))*(1+IF($N$10=$D$1,IF($Y$10*$AD$10&gt;=$K$1,0,IF($Y$10*$AD$10&gt;=$J$1,0,0)),0))*$B13*$D13*$E13^(AG$2-1),1),0)</f>
        <v>0</v>
      </c>
      <c r="AH13" s="47">
        <f>IF(CEILING($B13*$D13/3,1)&gt;=AH$2,CEILING($F$1*IF($Y$10*$AD$10&gt;=$I$1,1,IF($Y$10*$AD$10&gt;=$H$1,0.5,0))*(1+IF($N$10=$D$1,IF($Y$10*$AD$10&gt;=$K$1,0,IF($Y$10*$AD$10&gt;=$J$1,0,0)),0))*$B13*$D13*$E13^(AH$2-1),1),0)</f>
        <v>0</v>
      </c>
      <c r="AI13" s="48">
        <f>IF(CEILING($B13*$D13/3,1)&gt;=AI$2,CEILING($F$1*IF($Y$10*$AD$10&gt;=$I$1,1,IF($Y$10*$AD$10&gt;=$H$1,0.5,0))*(1+IF($N$10=$D$1,IF($Y$10*$AD$10&gt;=$K$1,0,IF($Y$10*$AD$10&gt;=$J$1,0,0)),0))*$B13*$D13*$E13^(AI$2-1),1),0)</f>
        <v>0</v>
      </c>
    </row>
    <row r="14" spans="1:35" ht="15" customHeight="1" x14ac:dyDescent="0.25">
      <c r="A14" s="58"/>
      <c r="B14" s="60"/>
      <c r="C14" s="6"/>
      <c r="D14" s="68"/>
      <c r="E14" s="64"/>
      <c r="F14" s="49"/>
      <c r="G14" s="49"/>
      <c r="H14" s="49"/>
      <c r="I14" s="49"/>
      <c r="J14" s="50"/>
      <c r="K14" s="50"/>
      <c r="L14" s="50"/>
      <c r="M14" s="50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1"/>
    </row>
    <row r="15" spans="1:35" x14ac:dyDescent="0.25">
      <c r="A15" s="58"/>
      <c r="B15" s="60"/>
      <c r="C15" s="6"/>
      <c r="D15" s="68"/>
      <c r="E15" s="64"/>
      <c r="F15" s="117" t="s">
        <v>11</v>
      </c>
      <c r="G15" s="117"/>
      <c r="H15" s="117"/>
      <c r="I15" s="36">
        <v>4</v>
      </c>
      <c r="J15" s="113" t="s">
        <v>3</v>
      </c>
      <c r="K15" s="113"/>
      <c r="L15" s="113"/>
      <c r="M15" s="113"/>
      <c r="N15" s="118" t="s">
        <v>5</v>
      </c>
      <c r="O15" s="118"/>
      <c r="P15" s="115" t="s">
        <v>1</v>
      </c>
      <c r="Q15" s="115"/>
      <c r="R15" s="115"/>
      <c r="S15" s="115"/>
      <c r="T15" s="15">
        <v>10</v>
      </c>
      <c r="U15" s="116" t="s">
        <v>2</v>
      </c>
      <c r="V15" s="116"/>
      <c r="W15" s="116"/>
      <c r="X15" s="116"/>
      <c r="Y15" s="15">
        <v>9</v>
      </c>
      <c r="Z15" s="116" t="s">
        <v>4</v>
      </c>
      <c r="AA15" s="116"/>
      <c r="AB15" s="116"/>
      <c r="AC15" s="116"/>
      <c r="AD15" s="15">
        <v>3</v>
      </c>
      <c r="AE15" s="26"/>
      <c r="AF15" s="26"/>
      <c r="AG15" s="26"/>
      <c r="AH15" s="26"/>
      <c r="AI15" s="27"/>
    </row>
    <row r="16" spans="1:35" x14ac:dyDescent="0.25">
      <c r="A16" s="58">
        <v>1</v>
      </c>
      <c r="B16" s="60">
        <v>1.1499999999999999</v>
      </c>
      <c r="C16" s="16">
        <v>0</v>
      </c>
      <c r="D16" s="67">
        <f>CEILING(1+MIN(T$15-C16-1,$L$1)+(T$15-C16-1-MIN(T$15-C16-1,$L$1))/$M$1,1)</f>
        <v>10</v>
      </c>
      <c r="E16" s="63">
        <f>MAX(($G$1/($F$1*D16))^(1/(ROUNDUP(D16/3,)-1)),2/3)</f>
        <v>0.66666666666666663</v>
      </c>
      <c r="F16" s="47">
        <f>IF(CEILING($B16*$D16/3,1)&gt;=F$2,CEILING($F$1*IF($Y$15*$AD$15&gt;=$I$1,1,IF($Y$15*$AD$15&gt;=$H$1,0.5,0))*(1+IF($N$15=$D$1,IF($Y$15*$AD$15&gt;=$K$1,0,IF($Y$15*$AD$15&gt;=$J$1,0,0)),0))*$B16*$D16*$E16^(F$2-1),1),0)</f>
        <v>35</v>
      </c>
      <c r="G16" s="47">
        <f>IF(CEILING($B16*$D16/3,1)&gt;=G$2,CEILING($F$1*IF($Y$15*$AD$15&gt;=$I$1,1,IF($Y$15*$AD$15&gt;=$H$1,0.5,0))*(1+IF($N$15=$D$1,IF($Y$15*$AD$15&gt;=$K$1,0,IF($Y$15*$AD$15&gt;=$J$1,0,0)),0))*$B16*$D16*$E16^(G$2-1),1),0)</f>
        <v>23</v>
      </c>
      <c r="H16" s="47">
        <f>IF(CEILING($B16*$D16/3,1)&gt;=H$2,CEILING($F$1*IF($Y$15*$AD$15&gt;=$I$1,1,IF($Y$15*$AD$15&gt;=$H$1,0.5,0))*(1+IF($N$15=$D$1,IF($Y$15*$AD$15&gt;=$K$1,0,IF($Y$15*$AD$15&gt;=$J$1,0,0)),0))*$B16*$D16*$E16^(H$2-1),1),0)</f>
        <v>16</v>
      </c>
      <c r="I16" s="47">
        <f>IF(CEILING($B16*$D16/3,1)&gt;=I$2,CEILING($F$1*IF($Y$15*$AD$15&gt;=$I$1,1,IF($Y$15*$AD$15&gt;=$H$1,0.5,0))*(1+IF($N$15=$D$1,IF($Y$15*$AD$15&gt;=$K$1,0,IF($Y$15*$AD$15&gt;=$J$1,0,0)),0))*$B16*$D16*$E16^(I$2-1),1),0)</f>
        <v>11</v>
      </c>
      <c r="J16" s="47">
        <f>IF(CEILING($B16*$D16/3,1)&gt;=J$2,CEILING($F$1*IF($Y$15*$AD$15&gt;=$I$1,1,IF($Y$15*$AD$15&gt;=$H$1,0.5,0))*(1+IF($N$15=$D$1,IF($Y$15*$AD$15&gt;=$K$1,0,IF($Y$15*$AD$15&gt;=$J$1,0,0)),0))*$B16*$D16*$E16^(J$2-1),1),0)</f>
        <v>0</v>
      </c>
      <c r="K16" s="47">
        <f>IF(CEILING($B16*$D16/3,1)&gt;=K$2,CEILING($F$1*IF($Y$15*$AD$15&gt;=$I$1,1,IF($Y$15*$AD$15&gt;=$H$1,0.5,0))*(1+IF($N$15=$D$1,IF($Y$15*$AD$15&gt;=$K$1,0,IF($Y$15*$AD$15&gt;=$J$1,0,0)),0))*$B16*$D16*$E16^(K$2-1),1),0)</f>
        <v>0</v>
      </c>
      <c r="L16" s="47">
        <f>IF(CEILING($B16*$D16/3,1)&gt;=L$2,CEILING($F$1*IF($Y$15*$AD$15&gt;=$I$1,1,IF($Y$15*$AD$15&gt;=$H$1,0.5,0))*(1+IF($N$15=$D$1,IF($Y$15*$AD$15&gt;=$K$1,0,IF($Y$15*$AD$15&gt;=$J$1,0,0)),0))*$B16*$D16*$E16^(L$2-1),1),0)</f>
        <v>0</v>
      </c>
      <c r="M16" s="47">
        <f>IF(CEILING($B16*$D16/3,1)&gt;=M$2,CEILING($F$1*IF($Y$15*$AD$15&gt;=$I$1,1,IF($Y$15*$AD$15&gt;=$H$1,0.5,0))*(1+IF($N$15=$D$1,IF($Y$15*$AD$15&gt;=$K$1,0,IF($Y$15*$AD$15&gt;=$J$1,0,0)),0))*$B16*$D16*$E16^(M$2-1),1),0)</f>
        <v>0</v>
      </c>
      <c r="N16" s="47">
        <f>IF(CEILING($B16*$D16/3,1)&gt;=N$2,CEILING($F$1*IF($Y$15*$AD$15&gt;=$I$1,1,IF($Y$15*$AD$15&gt;=$H$1,0.5,0))*(1+IF($N$15=$D$1,IF($Y$15*$AD$15&gt;=$K$1,0,IF($Y$15*$AD$15&gt;=$J$1,0,0)),0))*$B16*$D16*$E16^(N$2-1),1),0)</f>
        <v>0</v>
      </c>
      <c r="O16" s="47">
        <f>IF(CEILING($B16*$D16/3,1)&gt;=O$2,CEILING($F$1*IF($Y$15*$AD$15&gt;=$I$1,1,IF($Y$15*$AD$15&gt;=$H$1,0.5,0))*(1+IF($N$15=$D$1,IF($Y$15*$AD$15&gt;=$K$1,0,IF($Y$15*$AD$15&gt;=$J$1,0,0)),0))*$B16*$D16*$E16^(O$2-1),1),0)</f>
        <v>0</v>
      </c>
      <c r="P16" s="47">
        <f>IF(CEILING($B16*$D16/3,1)&gt;=P$2,CEILING($F$1*IF($Y$15*$AD$15&gt;=$I$1,1,IF($Y$15*$AD$15&gt;=$H$1,0.5,0))*(1+IF($N$15=$D$1,IF($Y$15*$AD$15&gt;=$K$1,0,IF($Y$15*$AD$15&gt;=$J$1,0,0)),0))*$B16*$D16*$E16^(P$2-1),1),0)</f>
        <v>0</v>
      </c>
      <c r="Q16" s="47">
        <f>IF(CEILING($B16*$D16/3,1)&gt;=Q$2,CEILING($F$1*IF($Y$15*$AD$15&gt;=$I$1,1,IF($Y$15*$AD$15&gt;=$H$1,0.5,0))*(1+IF($N$15=$D$1,IF($Y$15*$AD$15&gt;=$K$1,0,IF($Y$15*$AD$15&gt;=$J$1,0,0)),0))*$B16*$D16*$E16^(Q$2-1),1),0)</f>
        <v>0</v>
      </c>
      <c r="R16" s="47">
        <f>IF(CEILING($B16*$D16/3,1)&gt;=R$2,CEILING($F$1*IF($Y$15*$AD$15&gt;=$I$1,1,IF($Y$15*$AD$15&gt;=$H$1,0.5,0))*(1+IF($N$15=$D$1,IF($Y$15*$AD$15&gt;=$K$1,0,IF($Y$15*$AD$15&gt;=$J$1,0,0)),0))*$B16*$D16*$E16^(R$2-1),1),0)</f>
        <v>0</v>
      </c>
      <c r="S16" s="47">
        <f>IF(CEILING($B16*$D16/3,1)&gt;=S$2,CEILING($F$1*IF($Y$15*$AD$15&gt;=$I$1,1,IF($Y$15*$AD$15&gt;=$H$1,0.5,0))*(1+IF($N$15=$D$1,IF($Y$15*$AD$15&gt;=$K$1,0,IF($Y$15*$AD$15&gt;=$J$1,0,0)),0))*$B16*$D16*$E16^(S$2-1),1),0)</f>
        <v>0</v>
      </c>
      <c r="T16" s="47">
        <f>IF(CEILING($B16*$D16/3,1)&gt;=T$2,CEILING($F$1*IF($Y$15*$AD$15&gt;=$I$1,1,IF($Y$15*$AD$15&gt;=$H$1,0.5,0))*(1+IF($N$15=$D$1,IF($Y$15*$AD$15&gt;=$K$1,0,IF($Y$15*$AD$15&gt;=$J$1,0,0)),0))*$B16*$D16*$E16^(T$2-1),1),0)</f>
        <v>0</v>
      </c>
      <c r="U16" s="47">
        <f>IF(CEILING($B16*$D16/3,1)&gt;=U$2,CEILING($F$1*IF($Y$15*$AD$15&gt;=$I$1,1,IF($Y$15*$AD$15&gt;=$H$1,0.5,0))*(1+IF($N$15=$D$1,IF($Y$15*$AD$15&gt;=$K$1,0,IF($Y$15*$AD$15&gt;=$J$1,0,0)),0))*$B16*$D16*$E16^(U$2-1),1),0)</f>
        <v>0</v>
      </c>
      <c r="V16" s="47">
        <f>IF(CEILING($B16*$D16/3,1)&gt;=V$2,CEILING($F$1*IF($Y$15*$AD$15&gt;=$I$1,1,IF($Y$15*$AD$15&gt;=$H$1,0.5,0))*(1+IF($N$15=$D$1,IF($Y$15*$AD$15&gt;=$K$1,0,IF($Y$15*$AD$15&gt;=$J$1,0,0)),0))*$B16*$D16*$E16^(V$2-1),1),0)</f>
        <v>0</v>
      </c>
      <c r="W16" s="47">
        <f>IF(CEILING($B16*$D16/3,1)&gt;=W$2,CEILING($F$1*IF($Y$15*$AD$15&gt;=$I$1,1,IF($Y$15*$AD$15&gt;=$H$1,0.5,0))*(1+IF($N$15=$D$1,IF($Y$15*$AD$15&gt;=$K$1,0,IF($Y$15*$AD$15&gt;=$J$1,0,0)),0))*$B16*$D16*$E16^(W$2-1),1),0)</f>
        <v>0</v>
      </c>
      <c r="X16" s="47">
        <f>IF(CEILING($B16*$D16/3,1)&gt;=X$2,CEILING($F$1*IF($Y$15*$AD$15&gt;=$I$1,1,IF($Y$15*$AD$15&gt;=$H$1,0.5,0))*(1+IF($N$15=$D$1,IF($Y$15*$AD$15&gt;=$K$1,0,IF($Y$15*$AD$15&gt;=$J$1,0,0)),0))*$B16*$D16*$E16^(X$2-1),1),0)</f>
        <v>0</v>
      </c>
      <c r="Y16" s="47">
        <f>IF(CEILING($B16*$D16/3,1)&gt;=Y$2,CEILING($F$1*IF($Y$15*$AD$15&gt;=$I$1,1,IF($Y$15*$AD$15&gt;=$H$1,0.5,0))*(1+IF($N$15=$D$1,IF($Y$15*$AD$15&gt;=$K$1,0,IF($Y$15*$AD$15&gt;=$J$1,0,0)),0))*$B16*$D16*$E16^(Y$2-1),1),0)</f>
        <v>0</v>
      </c>
      <c r="Z16" s="47">
        <f>IF(CEILING($B16*$D16/3,1)&gt;=Z$2,CEILING($F$1*IF($Y$15*$AD$15&gt;=$I$1,1,IF($Y$15*$AD$15&gt;=$H$1,0.5,0))*(1+IF($N$15=$D$1,IF($Y$15*$AD$15&gt;=$K$1,0,IF($Y$15*$AD$15&gt;=$J$1,0,0)),0))*$B16*$D16*$E16^(Z$2-1),1),0)</f>
        <v>0</v>
      </c>
      <c r="AA16" s="47">
        <f>IF(CEILING($B16*$D16/3,1)&gt;=AA$2,CEILING($F$1*IF($Y$15*$AD$15&gt;=$I$1,1,IF($Y$15*$AD$15&gt;=$H$1,0.5,0))*(1+IF($N$15=$D$1,IF($Y$15*$AD$15&gt;=$K$1,0,IF($Y$15*$AD$15&gt;=$J$1,0,0)),0))*$B16*$D16*$E16^(AA$2-1),1),0)</f>
        <v>0</v>
      </c>
      <c r="AB16" s="47">
        <f>IF(CEILING($B16*$D16/3,1)&gt;=AB$2,CEILING($F$1*IF($Y$15*$AD$15&gt;=$I$1,1,IF($Y$15*$AD$15&gt;=$H$1,0.5,0))*(1+IF($N$15=$D$1,IF($Y$15*$AD$15&gt;=$K$1,0,IF($Y$15*$AD$15&gt;=$J$1,0,0)),0))*$B16*$D16*$E16^(AB$2-1),1),0)</f>
        <v>0</v>
      </c>
      <c r="AC16" s="47">
        <f>IF(CEILING($B16*$D16/3,1)&gt;=AC$2,CEILING($F$1*IF($Y$15*$AD$15&gt;=$I$1,1,IF($Y$15*$AD$15&gt;=$H$1,0.5,0))*(1+IF($N$15=$D$1,IF($Y$15*$AD$15&gt;=$K$1,0,IF($Y$15*$AD$15&gt;=$J$1,0,0)),0))*$B16*$D16*$E16^(AC$2-1),1),0)</f>
        <v>0</v>
      </c>
      <c r="AD16" s="47">
        <f>IF(CEILING($B16*$D16/3,1)&gt;=AD$2,CEILING($F$1*IF($Y$15*$AD$15&gt;=$I$1,1,IF($Y$15*$AD$15&gt;=$H$1,0.5,0))*(1+IF($N$15=$D$1,IF($Y$15*$AD$15&gt;=$K$1,0,IF($Y$15*$AD$15&gt;=$J$1,0,0)),0))*$B16*$D16*$E16^(AD$2-1),1),0)</f>
        <v>0</v>
      </c>
      <c r="AE16" s="47">
        <f>IF(CEILING($B16*$D16/3,1)&gt;=AE$2,CEILING($F$1*IF($Y$15*$AD$15&gt;=$I$1,1,IF($Y$15*$AD$15&gt;=$H$1,0.5,0))*(1+IF($N$15=$D$1,IF($Y$15*$AD$15&gt;=$K$1,0,IF($Y$15*$AD$15&gt;=$J$1,0,0)),0))*$B16*$D16*$E16^(AE$2-1),1),0)</f>
        <v>0</v>
      </c>
      <c r="AF16" s="47">
        <f>IF(CEILING($B16*$D16/3,1)&gt;=AF$2,CEILING($F$1*IF($Y$15*$AD$15&gt;=$I$1,1,IF($Y$15*$AD$15&gt;=$H$1,0.5,0))*(1+IF($N$15=$D$1,IF($Y$15*$AD$15&gt;=$K$1,0,IF($Y$15*$AD$15&gt;=$J$1,0,0)),0))*$B16*$D16*$E16^(AF$2-1),1),0)</f>
        <v>0</v>
      </c>
      <c r="AG16" s="47">
        <f>IF(CEILING($B16*$D16/3,1)&gt;=AG$2,CEILING($F$1*IF($Y$15*$AD$15&gt;=$I$1,1,IF($Y$15*$AD$15&gt;=$H$1,0.5,0))*(1+IF($N$15=$D$1,IF($Y$15*$AD$15&gt;=$K$1,0,IF($Y$15*$AD$15&gt;=$J$1,0,0)),0))*$B16*$D16*$E16^(AG$2-1),1),0)</f>
        <v>0</v>
      </c>
      <c r="AH16" s="47">
        <f>IF(CEILING($B16*$D16/3,1)&gt;=AH$2,CEILING($F$1*IF($Y$15*$AD$15&gt;=$I$1,1,IF($Y$15*$AD$15&gt;=$H$1,0.5,0))*(1+IF($N$15=$D$1,IF($Y$15*$AD$15&gt;=$K$1,0,IF($Y$15*$AD$15&gt;=$J$1,0,0)),0))*$B16*$D16*$E16^(AH$2-1),1),0)</f>
        <v>0</v>
      </c>
      <c r="AI16" s="48">
        <f>IF(CEILING($B16*$D16/3,1)&gt;=AI$2,CEILING($F$1*IF($Y$15*$AD$15&gt;=$I$1,1,IF($Y$15*$AD$15&gt;=$H$1,0.5,0))*(1+IF($N$15=$D$1,IF($Y$15*$AD$15&gt;=$K$1,0,IF($Y$15*$AD$15&gt;=$J$1,0,0)),0))*$B16*$D16*$E16^(AI$2-1),1),0)</f>
        <v>0</v>
      </c>
    </row>
    <row r="17" spans="1:35" x14ac:dyDescent="0.25">
      <c r="A17" s="58">
        <v>2</v>
      </c>
      <c r="B17" s="60">
        <v>1.05</v>
      </c>
      <c r="C17" s="16">
        <v>0</v>
      </c>
      <c r="D17" s="67">
        <f>CEILING(1+MIN(T$15-C17-1,$L$1)+(T$15-C17-1-MIN(T$15-C17-1,$L$1))/$M$1,1)</f>
        <v>10</v>
      </c>
      <c r="E17" s="63">
        <f>MAX(($G$1/($F$1*D17))^(1/(ROUNDUP(D17/3,)-1)),2/3)</f>
        <v>0.66666666666666663</v>
      </c>
      <c r="F17" s="47">
        <f>IF(CEILING($B17*$D17/3,1)&gt;=F$2,CEILING($F$1*IF($Y$15*$AD$15&gt;=$I$1,1,IF($Y$15*$AD$15&gt;=$H$1,0.5,0))*(1+IF($N$15=$D$1,IF($Y$15*$AD$15&gt;=$K$1,0,IF($Y$15*$AD$15&gt;=$J$1,0,0)),0))*$B17*$D17*$E17^(F$2-1),1),0)</f>
        <v>32</v>
      </c>
      <c r="G17" s="47">
        <f>IF(CEILING($B17*$D17/3,1)&gt;=G$2,CEILING($F$1*IF($Y$15*$AD$15&gt;=$I$1,1,IF($Y$15*$AD$15&gt;=$H$1,0.5,0))*(1+IF($N$15=$D$1,IF($Y$15*$AD$15&gt;=$K$1,0,IF($Y$15*$AD$15&gt;=$J$1,0,0)),0))*$B17*$D17*$E17^(G$2-1),1),0)</f>
        <v>21</v>
      </c>
      <c r="H17" s="47">
        <f>IF(CEILING($B17*$D17/3,1)&gt;=H$2,CEILING($F$1*IF($Y$15*$AD$15&gt;=$I$1,1,IF($Y$15*$AD$15&gt;=$H$1,0.5,0))*(1+IF($N$15=$D$1,IF($Y$15*$AD$15&gt;=$K$1,0,IF($Y$15*$AD$15&gt;=$J$1,0,0)),0))*$B17*$D17*$E17^(H$2-1),1),0)</f>
        <v>14</v>
      </c>
      <c r="I17" s="47">
        <f>IF(CEILING($B17*$D17/3,1)&gt;=I$2,CEILING($F$1*IF($Y$15*$AD$15&gt;=$I$1,1,IF($Y$15*$AD$15&gt;=$H$1,0.5,0))*(1+IF($N$15=$D$1,IF($Y$15*$AD$15&gt;=$K$1,0,IF($Y$15*$AD$15&gt;=$J$1,0,0)),0))*$B17*$D17*$E17^(I$2-1),1),0)</f>
        <v>10</v>
      </c>
      <c r="J17" s="47">
        <f>IF(CEILING($B17*$D17/3,1)&gt;=J$2,CEILING($F$1*IF($Y$15*$AD$15&gt;=$I$1,1,IF($Y$15*$AD$15&gt;=$H$1,0.5,0))*(1+IF($N$15=$D$1,IF($Y$15*$AD$15&gt;=$K$1,0,IF($Y$15*$AD$15&gt;=$J$1,0,0)),0))*$B17*$D17*$E17^(J$2-1),1),0)</f>
        <v>0</v>
      </c>
      <c r="K17" s="47">
        <f>IF(CEILING($B17*$D17/3,1)&gt;=K$2,CEILING($F$1*IF($Y$15*$AD$15&gt;=$I$1,1,IF($Y$15*$AD$15&gt;=$H$1,0.5,0))*(1+IF($N$15=$D$1,IF($Y$15*$AD$15&gt;=$K$1,0,IF($Y$15*$AD$15&gt;=$J$1,0,0)),0))*$B17*$D17*$E17^(K$2-1),1),0)</f>
        <v>0</v>
      </c>
      <c r="L17" s="47">
        <f>IF(CEILING($B17*$D17/3,1)&gt;=L$2,CEILING($F$1*IF($Y$15*$AD$15&gt;=$I$1,1,IF($Y$15*$AD$15&gt;=$H$1,0.5,0))*(1+IF($N$15=$D$1,IF($Y$15*$AD$15&gt;=$K$1,0,IF($Y$15*$AD$15&gt;=$J$1,0,0)),0))*$B17*$D17*$E17^(L$2-1),1),0)</f>
        <v>0</v>
      </c>
      <c r="M17" s="47">
        <f>IF(CEILING($B17*$D17/3,1)&gt;=M$2,CEILING($F$1*IF($Y$15*$AD$15&gt;=$I$1,1,IF($Y$15*$AD$15&gt;=$H$1,0.5,0))*(1+IF($N$15=$D$1,IF($Y$15*$AD$15&gt;=$K$1,0,IF($Y$15*$AD$15&gt;=$J$1,0,0)),0))*$B17*$D17*$E17^(M$2-1),1),0)</f>
        <v>0</v>
      </c>
      <c r="N17" s="47">
        <f>IF(CEILING($B17*$D17/3,1)&gt;=N$2,CEILING($F$1*IF($Y$15*$AD$15&gt;=$I$1,1,IF($Y$15*$AD$15&gt;=$H$1,0.5,0))*(1+IF($N$15=$D$1,IF($Y$15*$AD$15&gt;=$K$1,0,IF($Y$15*$AD$15&gt;=$J$1,0,0)),0))*$B17*$D17*$E17^(N$2-1),1),0)</f>
        <v>0</v>
      </c>
      <c r="O17" s="47">
        <f>IF(CEILING($B17*$D17/3,1)&gt;=O$2,CEILING($F$1*IF($Y$15*$AD$15&gt;=$I$1,1,IF($Y$15*$AD$15&gt;=$H$1,0.5,0))*(1+IF($N$15=$D$1,IF($Y$15*$AD$15&gt;=$K$1,0,IF($Y$15*$AD$15&gt;=$J$1,0,0)),0))*$B17*$D17*$E17^(O$2-1),1),0)</f>
        <v>0</v>
      </c>
      <c r="P17" s="47">
        <f>IF(CEILING($B17*$D17/3,1)&gt;=P$2,CEILING($F$1*IF($Y$15*$AD$15&gt;=$I$1,1,IF($Y$15*$AD$15&gt;=$H$1,0.5,0))*(1+IF($N$15=$D$1,IF($Y$15*$AD$15&gt;=$K$1,0,IF($Y$15*$AD$15&gt;=$J$1,0,0)),0))*$B17*$D17*$E17^(P$2-1),1),0)</f>
        <v>0</v>
      </c>
      <c r="Q17" s="47">
        <f>IF(CEILING($B17*$D17/3,1)&gt;=Q$2,CEILING($F$1*IF($Y$15*$AD$15&gt;=$I$1,1,IF($Y$15*$AD$15&gt;=$H$1,0.5,0))*(1+IF($N$15=$D$1,IF($Y$15*$AD$15&gt;=$K$1,0,IF($Y$15*$AD$15&gt;=$J$1,0,0)),0))*$B17*$D17*$E17^(Q$2-1),1),0)</f>
        <v>0</v>
      </c>
      <c r="R17" s="47">
        <f>IF(CEILING($B17*$D17/3,1)&gt;=R$2,CEILING($F$1*IF($Y$15*$AD$15&gt;=$I$1,1,IF($Y$15*$AD$15&gt;=$H$1,0.5,0))*(1+IF($N$15=$D$1,IF($Y$15*$AD$15&gt;=$K$1,0,IF($Y$15*$AD$15&gt;=$J$1,0,0)),0))*$B17*$D17*$E17^(R$2-1),1),0)</f>
        <v>0</v>
      </c>
      <c r="S17" s="47">
        <f>IF(CEILING($B17*$D17/3,1)&gt;=S$2,CEILING($F$1*IF($Y$15*$AD$15&gt;=$I$1,1,IF($Y$15*$AD$15&gt;=$H$1,0.5,0))*(1+IF($N$15=$D$1,IF($Y$15*$AD$15&gt;=$K$1,0,IF($Y$15*$AD$15&gt;=$J$1,0,0)),0))*$B17*$D17*$E17^(S$2-1),1),0)</f>
        <v>0</v>
      </c>
      <c r="T17" s="47">
        <f>IF(CEILING($B17*$D17/3,1)&gt;=T$2,CEILING($F$1*IF($Y$15*$AD$15&gt;=$I$1,1,IF($Y$15*$AD$15&gt;=$H$1,0.5,0))*(1+IF($N$15=$D$1,IF($Y$15*$AD$15&gt;=$K$1,0,IF($Y$15*$AD$15&gt;=$J$1,0,0)),0))*$B17*$D17*$E17^(T$2-1),1),0)</f>
        <v>0</v>
      </c>
      <c r="U17" s="47">
        <f>IF(CEILING($B17*$D17/3,1)&gt;=U$2,CEILING($F$1*IF($Y$15*$AD$15&gt;=$I$1,1,IF($Y$15*$AD$15&gt;=$H$1,0.5,0))*(1+IF($N$15=$D$1,IF($Y$15*$AD$15&gt;=$K$1,0,IF($Y$15*$AD$15&gt;=$J$1,0,0)),0))*$B17*$D17*$E17^(U$2-1),1),0)</f>
        <v>0</v>
      </c>
      <c r="V17" s="47">
        <f>IF(CEILING($B17*$D17/3,1)&gt;=V$2,CEILING($F$1*IF($Y$15*$AD$15&gt;=$I$1,1,IF($Y$15*$AD$15&gt;=$H$1,0.5,0))*(1+IF($N$15=$D$1,IF($Y$15*$AD$15&gt;=$K$1,0,IF($Y$15*$AD$15&gt;=$J$1,0,0)),0))*$B17*$D17*$E17^(V$2-1),1),0)</f>
        <v>0</v>
      </c>
      <c r="W17" s="47">
        <f>IF(CEILING($B17*$D17/3,1)&gt;=W$2,CEILING($F$1*IF($Y$15*$AD$15&gt;=$I$1,1,IF($Y$15*$AD$15&gt;=$H$1,0.5,0))*(1+IF($N$15=$D$1,IF($Y$15*$AD$15&gt;=$K$1,0,IF($Y$15*$AD$15&gt;=$J$1,0,0)),0))*$B17*$D17*$E17^(W$2-1),1),0)</f>
        <v>0</v>
      </c>
      <c r="X17" s="47">
        <f>IF(CEILING($B17*$D17/3,1)&gt;=X$2,CEILING($F$1*IF($Y$15*$AD$15&gt;=$I$1,1,IF($Y$15*$AD$15&gt;=$H$1,0.5,0))*(1+IF($N$15=$D$1,IF($Y$15*$AD$15&gt;=$K$1,0,IF($Y$15*$AD$15&gt;=$J$1,0,0)),0))*$B17*$D17*$E17^(X$2-1),1),0)</f>
        <v>0</v>
      </c>
      <c r="Y17" s="47">
        <f>IF(CEILING($B17*$D17/3,1)&gt;=Y$2,CEILING($F$1*IF($Y$15*$AD$15&gt;=$I$1,1,IF($Y$15*$AD$15&gt;=$H$1,0.5,0))*(1+IF($N$15=$D$1,IF($Y$15*$AD$15&gt;=$K$1,0,IF($Y$15*$AD$15&gt;=$J$1,0,0)),0))*$B17*$D17*$E17^(Y$2-1),1),0)</f>
        <v>0</v>
      </c>
      <c r="Z17" s="47">
        <f>IF(CEILING($B17*$D17/3,1)&gt;=Z$2,CEILING($F$1*IF($Y$15*$AD$15&gt;=$I$1,1,IF($Y$15*$AD$15&gt;=$H$1,0.5,0))*(1+IF($N$15=$D$1,IF($Y$15*$AD$15&gt;=$K$1,0,IF($Y$15*$AD$15&gt;=$J$1,0,0)),0))*$B17*$D17*$E17^(Z$2-1),1),0)</f>
        <v>0</v>
      </c>
      <c r="AA17" s="47">
        <f>IF(CEILING($B17*$D17/3,1)&gt;=AA$2,CEILING($F$1*IF($Y$15*$AD$15&gt;=$I$1,1,IF($Y$15*$AD$15&gt;=$H$1,0.5,0))*(1+IF($N$15=$D$1,IF($Y$15*$AD$15&gt;=$K$1,0,IF($Y$15*$AD$15&gt;=$J$1,0,0)),0))*$B17*$D17*$E17^(AA$2-1),1),0)</f>
        <v>0</v>
      </c>
      <c r="AB17" s="47">
        <f>IF(CEILING($B17*$D17/3,1)&gt;=AB$2,CEILING($F$1*IF($Y$15*$AD$15&gt;=$I$1,1,IF($Y$15*$AD$15&gt;=$H$1,0.5,0))*(1+IF($N$15=$D$1,IF($Y$15*$AD$15&gt;=$K$1,0,IF($Y$15*$AD$15&gt;=$J$1,0,0)),0))*$B17*$D17*$E17^(AB$2-1),1),0)</f>
        <v>0</v>
      </c>
      <c r="AC17" s="47">
        <f>IF(CEILING($B17*$D17/3,1)&gt;=AC$2,CEILING($F$1*IF($Y$15*$AD$15&gt;=$I$1,1,IF($Y$15*$AD$15&gt;=$H$1,0.5,0))*(1+IF($N$15=$D$1,IF($Y$15*$AD$15&gt;=$K$1,0,IF($Y$15*$AD$15&gt;=$J$1,0,0)),0))*$B17*$D17*$E17^(AC$2-1),1),0)</f>
        <v>0</v>
      </c>
      <c r="AD17" s="47">
        <f>IF(CEILING($B17*$D17/3,1)&gt;=AD$2,CEILING($F$1*IF($Y$15*$AD$15&gt;=$I$1,1,IF($Y$15*$AD$15&gt;=$H$1,0.5,0))*(1+IF($N$15=$D$1,IF($Y$15*$AD$15&gt;=$K$1,0,IF($Y$15*$AD$15&gt;=$J$1,0,0)),0))*$B17*$D17*$E17^(AD$2-1),1),0)</f>
        <v>0</v>
      </c>
      <c r="AE17" s="47">
        <f>IF(CEILING($B17*$D17/3,1)&gt;=AE$2,CEILING($F$1*IF($Y$15*$AD$15&gt;=$I$1,1,IF($Y$15*$AD$15&gt;=$H$1,0.5,0))*(1+IF($N$15=$D$1,IF($Y$15*$AD$15&gt;=$K$1,0,IF($Y$15*$AD$15&gt;=$J$1,0,0)),0))*$B17*$D17*$E17^(AE$2-1),1),0)</f>
        <v>0</v>
      </c>
      <c r="AF17" s="47">
        <f>IF(CEILING($B17*$D17/3,1)&gt;=AF$2,CEILING($F$1*IF($Y$15*$AD$15&gt;=$I$1,1,IF($Y$15*$AD$15&gt;=$H$1,0.5,0))*(1+IF($N$15=$D$1,IF($Y$15*$AD$15&gt;=$K$1,0,IF($Y$15*$AD$15&gt;=$J$1,0,0)),0))*$B17*$D17*$E17^(AF$2-1),1),0)</f>
        <v>0</v>
      </c>
      <c r="AG17" s="47">
        <f>IF(CEILING($B17*$D17/3,1)&gt;=AG$2,CEILING($F$1*IF($Y$15*$AD$15&gt;=$I$1,1,IF($Y$15*$AD$15&gt;=$H$1,0.5,0))*(1+IF($N$15=$D$1,IF($Y$15*$AD$15&gt;=$K$1,0,IF($Y$15*$AD$15&gt;=$J$1,0,0)),0))*$B17*$D17*$E17^(AG$2-1),1),0)</f>
        <v>0</v>
      </c>
      <c r="AH17" s="47">
        <f>IF(CEILING($B17*$D17/3,1)&gt;=AH$2,CEILING($F$1*IF($Y$15*$AD$15&gt;=$I$1,1,IF($Y$15*$AD$15&gt;=$H$1,0.5,0))*(1+IF($N$15=$D$1,IF($Y$15*$AD$15&gt;=$K$1,0,IF($Y$15*$AD$15&gt;=$J$1,0,0)),0))*$B17*$D17*$E17^(AH$2-1),1),0)</f>
        <v>0</v>
      </c>
      <c r="AI17" s="48">
        <f>IF(CEILING($B17*$D17/3,1)&gt;=AI$2,CEILING($F$1*IF($Y$15*$AD$15&gt;=$I$1,1,IF($Y$15*$AD$15&gt;=$H$1,0.5,0))*(1+IF($N$15=$D$1,IF($Y$15*$AD$15&gt;=$K$1,0,IF($Y$15*$AD$15&gt;=$J$1,0,0)),0))*$B17*$D17*$E17^(AI$2-1),1),0)</f>
        <v>0</v>
      </c>
    </row>
    <row r="18" spans="1:35" x14ac:dyDescent="0.25">
      <c r="A18" s="58">
        <v>3</v>
      </c>
      <c r="B18" s="60">
        <v>0.95</v>
      </c>
      <c r="C18" s="16">
        <v>0</v>
      </c>
      <c r="D18" s="67">
        <f>CEILING(1+MIN(T$15-C18-1,$L$1)+(T$15-C18-1-MIN(T$15-C18-1,$L$1))/$M$1,1)</f>
        <v>10</v>
      </c>
      <c r="E18" s="63">
        <f>MAX(($G$1/($F$1*D18))^(1/(ROUNDUP(D18/3,)-1)),2/3)</f>
        <v>0.66666666666666663</v>
      </c>
      <c r="F18" s="47">
        <f>IF(CEILING($B18*$D18/3,1)&gt;=F$2,CEILING($F$1*IF($Y$15*$AD$15&gt;=$I$1,1,IF($Y$15*$AD$15&gt;=$H$1,0.5,0))*(1+IF($N$15=$D$1,IF($Y$15*$AD$15&gt;=$K$1,0,IF($Y$15*$AD$15&gt;=$J$1,0,0)),0))*$B18*$D18*$E18^(F$2-1),1),0)</f>
        <v>29</v>
      </c>
      <c r="G18" s="47">
        <f>IF(CEILING($B18*$D18/3,1)&gt;=G$2,CEILING($F$1*IF($Y$15*$AD$15&gt;=$I$1,1,IF($Y$15*$AD$15&gt;=$H$1,0.5,0))*(1+IF($N$15=$D$1,IF($Y$15*$AD$15&gt;=$K$1,0,IF($Y$15*$AD$15&gt;=$J$1,0,0)),0))*$B18*$D18*$E18^(G$2-1),1),0)</f>
        <v>19</v>
      </c>
      <c r="H18" s="47">
        <f>IF(CEILING($B18*$D18/3,1)&gt;=H$2,CEILING($F$1*IF($Y$15*$AD$15&gt;=$I$1,1,IF($Y$15*$AD$15&gt;=$H$1,0.5,0))*(1+IF($N$15=$D$1,IF($Y$15*$AD$15&gt;=$K$1,0,IF($Y$15*$AD$15&gt;=$J$1,0,0)),0))*$B18*$D18*$E18^(H$2-1),1),0)</f>
        <v>13</v>
      </c>
      <c r="I18" s="47">
        <f>IF(CEILING($B18*$D18/3,1)&gt;=I$2,CEILING($F$1*IF($Y$15*$AD$15&gt;=$I$1,1,IF($Y$15*$AD$15&gt;=$H$1,0.5,0))*(1+IF($N$15=$D$1,IF($Y$15*$AD$15&gt;=$K$1,0,IF($Y$15*$AD$15&gt;=$J$1,0,0)),0))*$B18*$D18*$E18^(I$2-1),1),0)</f>
        <v>9</v>
      </c>
      <c r="J18" s="47">
        <f>IF(CEILING($B18*$D18/3,1)&gt;=J$2,CEILING($F$1*IF($Y$15*$AD$15&gt;=$I$1,1,IF($Y$15*$AD$15&gt;=$H$1,0.5,0))*(1+IF($N$15=$D$1,IF($Y$15*$AD$15&gt;=$K$1,0,IF($Y$15*$AD$15&gt;=$J$1,0,0)),0))*$B18*$D18*$E18^(J$2-1),1),0)</f>
        <v>0</v>
      </c>
      <c r="K18" s="47">
        <f>IF(CEILING($B18*$D18/3,1)&gt;=K$2,CEILING($F$1*IF($Y$15*$AD$15&gt;=$I$1,1,IF($Y$15*$AD$15&gt;=$H$1,0.5,0))*(1+IF($N$15=$D$1,IF($Y$15*$AD$15&gt;=$K$1,0,IF($Y$15*$AD$15&gt;=$J$1,0,0)),0))*$B18*$D18*$E18^(K$2-1),1),0)</f>
        <v>0</v>
      </c>
      <c r="L18" s="47">
        <f>IF(CEILING($B18*$D18/3,1)&gt;=L$2,CEILING($F$1*IF($Y$15*$AD$15&gt;=$I$1,1,IF($Y$15*$AD$15&gt;=$H$1,0.5,0))*(1+IF($N$15=$D$1,IF($Y$15*$AD$15&gt;=$K$1,0,IF($Y$15*$AD$15&gt;=$J$1,0,0)),0))*$B18*$D18*$E18^(L$2-1),1),0)</f>
        <v>0</v>
      </c>
      <c r="M18" s="47">
        <f>IF(CEILING($B18*$D18/3,1)&gt;=M$2,CEILING($F$1*IF($Y$15*$AD$15&gt;=$I$1,1,IF($Y$15*$AD$15&gt;=$H$1,0.5,0))*(1+IF($N$15=$D$1,IF($Y$15*$AD$15&gt;=$K$1,0,IF($Y$15*$AD$15&gt;=$J$1,0,0)),0))*$B18*$D18*$E18^(M$2-1),1),0)</f>
        <v>0</v>
      </c>
      <c r="N18" s="47">
        <f>IF(CEILING($B18*$D18/3,1)&gt;=N$2,CEILING($F$1*IF($Y$15*$AD$15&gt;=$I$1,1,IF($Y$15*$AD$15&gt;=$H$1,0.5,0))*(1+IF($N$15=$D$1,IF($Y$15*$AD$15&gt;=$K$1,0,IF($Y$15*$AD$15&gt;=$J$1,0,0)),0))*$B18*$D18*$E18^(N$2-1),1),0)</f>
        <v>0</v>
      </c>
      <c r="O18" s="47">
        <f>IF(CEILING($B18*$D18/3,1)&gt;=O$2,CEILING($F$1*IF($Y$15*$AD$15&gt;=$I$1,1,IF($Y$15*$AD$15&gt;=$H$1,0.5,0))*(1+IF($N$15=$D$1,IF($Y$15*$AD$15&gt;=$K$1,0,IF($Y$15*$AD$15&gt;=$J$1,0,0)),0))*$B18*$D18*$E18^(O$2-1),1),0)</f>
        <v>0</v>
      </c>
      <c r="P18" s="47">
        <f>IF(CEILING($B18*$D18/3,1)&gt;=P$2,CEILING($F$1*IF($Y$15*$AD$15&gt;=$I$1,1,IF($Y$15*$AD$15&gt;=$H$1,0.5,0))*(1+IF($N$15=$D$1,IF($Y$15*$AD$15&gt;=$K$1,0,IF($Y$15*$AD$15&gt;=$J$1,0,0)),0))*$B18*$D18*$E18^(P$2-1),1),0)</f>
        <v>0</v>
      </c>
      <c r="Q18" s="47">
        <f>IF(CEILING($B18*$D18/3,1)&gt;=Q$2,CEILING($F$1*IF($Y$15*$AD$15&gt;=$I$1,1,IF($Y$15*$AD$15&gt;=$H$1,0.5,0))*(1+IF($N$15=$D$1,IF($Y$15*$AD$15&gt;=$K$1,0,IF($Y$15*$AD$15&gt;=$J$1,0,0)),0))*$B18*$D18*$E18^(Q$2-1),1),0)</f>
        <v>0</v>
      </c>
      <c r="R18" s="47">
        <f>IF(CEILING($B18*$D18/3,1)&gt;=R$2,CEILING($F$1*IF($Y$15*$AD$15&gt;=$I$1,1,IF($Y$15*$AD$15&gt;=$H$1,0.5,0))*(1+IF($N$15=$D$1,IF($Y$15*$AD$15&gt;=$K$1,0,IF($Y$15*$AD$15&gt;=$J$1,0,0)),0))*$B18*$D18*$E18^(R$2-1),1),0)</f>
        <v>0</v>
      </c>
      <c r="S18" s="47">
        <f>IF(CEILING($B18*$D18/3,1)&gt;=S$2,CEILING($F$1*IF($Y$15*$AD$15&gt;=$I$1,1,IF($Y$15*$AD$15&gt;=$H$1,0.5,0))*(1+IF($N$15=$D$1,IF($Y$15*$AD$15&gt;=$K$1,0,IF($Y$15*$AD$15&gt;=$J$1,0,0)),0))*$B18*$D18*$E18^(S$2-1),1),0)</f>
        <v>0</v>
      </c>
      <c r="T18" s="47">
        <f>IF(CEILING($B18*$D18/3,1)&gt;=T$2,CEILING($F$1*IF($Y$15*$AD$15&gt;=$I$1,1,IF($Y$15*$AD$15&gt;=$H$1,0.5,0))*(1+IF($N$15=$D$1,IF($Y$15*$AD$15&gt;=$K$1,0,IF($Y$15*$AD$15&gt;=$J$1,0,0)),0))*$B18*$D18*$E18^(T$2-1),1),0)</f>
        <v>0</v>
      </c>
      <c r="U18" s="47">
        <f>IF(CEILING($B18*$D18/3,1)&gt;=U$2,CEILING($F$1*IF($Y$15*$AD$15&gt;=$I$1,1,IF($Y$15*$AD$15&gt;=$H$1,0.5,0))*(1+IF($N$15=$D$1,IF($Y$15*$AD$15&gt;=$K$1,0,IF($Y$15*$AD$15&gt;=$J$1,0,0)),0))*$B18*$D18*$E18^(U$2-1),1),0)</f>
        <v>0</v>
      </c>
      <c r="V18" s="47">
        <f>IF(CEILING($B18*$D18/3,1)&gt;=V$2,CEILING($F$1*IF($Y$15*$AD$15&gt;=$I$1,1,IF($Y$15*$AD$15&gt;=$H$1,0.5,0))*(1+IF($N$15=$D$1,IF($Y$15*$AD$15&gt;=$K$1,0,IF($Y$15*$AD$15&gt;=$J$1,0,0)),0))*$B18*$D18*$E18^(V$2-1),1),0)</f>
        <v>0</v>
      </c>
      <c r="W18" s="47">
        <f>IF(CEILING($B18*$D18/3,1)&gt;=W$2,CEILING($F$1*IF($Y$15*$AD$15&gt;=$I$1,1,IF($Y$15*$AD$15&gt;=$H$1,0.5,0))*(1+IF($N$15=$D$1,IF($Y$15*$AD$15&gt;=$K$1,0,IF($Y$15*$AD$15&gt;=$J$1,0,0)),0))*$B18*$D18*$E18^(W$2-1),1),0)</f>
        <v>0</v>
      </c>
      <c r="X18" s="47">
        <f>IF(CEILING($B18*$D18/3,1)&gt;=X$2,CEILING($F$1*IF($Y$15*$AD$15&gt;=$I$1,1,IF($Y$15*$AD$15&gt;=$H$1,0.5,0))*(1+IF($N$15=$D$1,IF($Y$15*$AD$15&gt;=$K$1,0,IF($Y$15*$AD$15&gt;=$J$1,0,0)),0))*$B18*$D18*$E18^(X$2-1),1),0)</f>
        <v>0</v>
      </c>
      <c r="Y18" s="47">
        <f>IF(CEILING($B18*$D18/3,1)&gt;=Y$2,CEILING($F$1*IF($Y$15*$AD$15&gt;=$I$1,1,IF($Y$15*$AD$15&gt;=$H$1,0.5,0))*(1+IF($N$15=$D$1,IF($Y$15*$AD$15&gt;=$K$1,0,IF($Y$15*$AD$15&gt;=$J$1,0,0)),0))*$B18*$D18*$E18^(Y$2-1),1),0)</f>
        <v>0</v>
      </c>
      <c r="Z18" s="47">
        <f>IF(CEILING($B18*$D18/3,1)&gt;=Z$2,CEILING($F$1*IF($Y$15*$AD$15&gt;=$I$1,1,IF($Y$15*$AD$15&gt;=$H$1,0.5,0))*(1+IF($N$15=$D$1,IF($Y$15*$AD$15&gt;=$K$1,0,IF($Y$15*$AD$15&gt;=$J$1,0,0)),0))*$B18*$D18*$E18^(Z$2-1),1),0)</f>
        <v>0</v>
      </c>
      <c r="AA18" s="47">
        <f>IF(CEILING($B18*$D18/3,1)&gt;=AA$2,CEILING($F$1*IF($Y$15*$AD$15&gt;=$I$1,1,IF($Y$15*$AD$15&gt;=$H$1,0.5,0))*(1+IF($N$15=$D$1,IF($Y$15*$AD$15&gt;=$K$1,0,IF($Y$15*$AD$15&gt;=$J$1,0,0)),0))*$B18*$D18*$E18^(AA$2-1),1),0)</f>
        <v>0</v>
      </c>
      <c r="AB18" s="47">
        <f>IF(CEILING($B18*$D18/3,1)&gt;=AB$2,CEILING($F$1*IF($Y$15*$AD$15&gt;=$I$1,1,IF($Y$15*$AD$15&gt;=$H$1,0.5,0))*(1+IF($N$15=$D$1,IF($Y$15*$AD$15&gt;=$K$1,0,IF($Y$15*$AD$15&gt;=$J$1,0,0)),0))*$B18*$D18*$E18^(AB$2-1),1),0)</f>
        <v>0</v>
      </c>
      <c r="AC18" s="47">
        <f>IF(CEILING($B18*$D18/3,1)&gt;=AC$2,CEILING($F$1*IF($Y$15*$AD$15&gt;=$I$1,1,IF($Y$15*$AD$15&gt;=$H$1,0.5,0))*(1+IF($N$15=$D$1,IF($Y$15*$AD$15&gt;=$K$1,0,IF($Y$15*$AD$15&gt;=$J$1,0,0)),0))*$B18*$D18*$E18^(AC$2-1),1),0)</f>
        <v>0</v>
      </c>
      <c r="AD18" s="47">
        <f>IF(CEILING($B18*$D18/3,1)&gt;=AD$2,CEILING($F$1*IF($Y$15*$AD$15&gt;=$I$1,1,IF($Y$15*$AD$15&gt;=$H$1,0.5,0))*(1+IF($N$15=$D$1,IF($Y$15*$AD$15&gt;=$K$1,0,IF($Y$15*$AD$15&gt;=$J$1,0,0)),0))*$B18*$D18*$E18^(AD$2-1),1),0)</f>
        <v>0</v>
      </c>
      <c r="AE18" s="47">
        <f>IF(CEILING($B18*$D18/3,1)&gt;=AE$2,CEILING($F$1*IF($Y$15*$AD$15&gt;=$I$1,1,IF($Y$15*$AD$15&gt;=$H$1,0.5,0))*(1+IF($N$15=$D$1,IF($Y$15*$AD$15&gt;=$K$1,0,IF($Y$15*$AD$15&gt;=$J$1,0,0)),0))*$B18*$D18*$E18^(AE$2-1),1),0)</f>
        <v>0</v>
      </c>
      <c r="AF18" s="47">
        <f>IF(CEILING($B18*$D18/3,1)&gt;=AF$2,CEILING($F$1*IF($Y$15*$AD$15&gt;=$I$1,1,IF($Y$15*$AD$15&gt;=$H$1,0.5,0))*(1+IF($N$15=$D$1,IF($Y$15*$AD$15&gt;=$K$1,0,IF($Y$15*$AD$15&gt;=$J$1,0,0)),0))*$B18*$D18*$E18^(AF$2-1),1),0)</f>
        <v>0</v>
      </c>
      <c r="AG18" s="47">
        <f>IF(CEILING($B18*$D18/3,1)&gt;=AG$2,CEILING($F$1*IF($Y$15*$AD$15&gt;=$I$1,1,IF($Y$15*$AD$15&gt;=$H$1,0.5,0))*(1+IF($N$15=$D$1,IF($Y$15*$AD$15&gt;=$K$1,0,IF($Y$15*$AD$15&gt;=$J$1,0,0)),0))*$B18*$D18*$E18^(AG$2-1),1),0)</f>
        <v>0</v>
      </c>
      <c r="AH18" s="47">
        <f>IF(CEILING($B18*$D18/3,1)&gt;=AH$2,CEILING($F$1*IF($Y$15*$AD$15&gt;=$I$1,1,IF($Y$15*$AD$15&gt;=$H$1,0.5,0))*(1+IF($N$15=$D$1,IF($Y$15*$AD$15&gt;=$K$1,0,IF($Y$15*$AD$15&gt;=$J$1,0,0)),0))*$B18*$D18*$E18^(AH$2-1),1),0)</f>
        <v>0</v>
      </c>
      <c r="AI18" s="48">
        <f>IF(CEILING($B18*$D18/3,1)&gt;=AI$2,CEILING($F$1*IF($Y$15*$AD$15&gt;=$I$1,1,IF($Y$15*$AD$15&gt;=$H$1,0.5,0))*(1+IF($N$15=$D$1,IF($Y$15*$AD$15&gt;=$K$1,0,IF($Y$15*$AD$15&gt;=$J$1,0,0)),0))*$B18*$D18*$E18^(AI$2-1),1),0)</f>
        <v>0</v>
      </c>
    </row>
    <row r="19" spans="1:35" x14ac:dyDescent="0.25">
      <c r="A19" s="58">
        <v>4</v>
      </c>
      <c r="B19" s="60">
        <v>0.85</v>
      </c>
      <c r="C19" s="16">
        <v>0</v>
      </c>
      <c r="D19" s="67">
        <f>CEILING(1+MIN(T$15-C19-1,$L$1)+(T$15-C19-1-MIN(T$15-C19-1,$L$1))/$M$1,1)</f>
        <v>10</v>
      </c>
      <c r="E19" s="63">
        <f>MAX(($G$1/($F$1*D19))^(1/(ROUNDUP(D19/3,)-1)),2/3)</f>
        <v>0.66666666666666663</v>
      </c>
      <c r="F19" s="47">
        <f>IF(CEILING($B19*$D19/3,1)&gt;=F$2,CEILING($F$1*IF($Y$15*$AD$15&gt;=$I$1,1,IF($Y$15*$AD$15&gt;=$H$1,0.5,0))*(1+IF($N$15=$D$1,IF($Y$15*$AD$15&gt;=$K$1,0,IF($Y$15*$AD$15&gt;=$J$1,0,0)),0))*$B19*$D19*$E19^(F$2-1),1),0)</f>
        <v>26</v>
      </c>
      <c r="G19" s="47">
        <f>IF(CEILING($B19*$D19/3,1)&gt;=G$2,CEILING($F$1*IF($Y$15*$AD$15&gt;=$I$1,1,IF($Y$15*$AD$15&gt;=$H$1,0.5,0))*(1+IF($N$15=$D$1,IF($Y$15*$AD$15&gt;=$K$1,0,IF($Y$15*$AD$15&gt;=$J$1,0,0)),0))*$B19*$D19*$E19^(G$2-1),1),0)</f>
        <v>17</v>
      </c>
      <c r="H19" s="47">
        <f>IF(CEILING($B19*$D19/3,1)&gt;=H$2,CEILING($F$1*IF($Y$15*$AD$15&gt;=$I$1,1,IF($Y$15*$AD$15&gt;=$H$1,0.5,0))*(1+IF($N$15=$D$1,IF($Y$15*$AD$15&gt;=$K$1,0,IF($Y$15*$AD$15&gt;=$J$1,0,0)),0))*$B19*$D19*$E19^(H$2-1),1),0)</f>
        <v>12</v>
      </c>
      <c r="I19" s="47">
        <f>IF(CEILING($B19*$D19/3,1)&gt;=I$2,CEILING($F$1*IF($Y$15*$AD$15&gt;=$I$1,1,IF($Y$15*$AD$15&gt;=$H$1,0.5,0))*(1+IF($N$15=$D$1,IF($Y$15*$AD$15&gt;=$K$1,0,IF($Y$15*$AD$15&gt;=$J$1,0,0)),0))*$B19*$D19*$E19^(I$2-1),1),0)</f>
        <v>0</v>
      </c>
      <c r="J19" s="47">
        <f>IF(CEILING($B19*$D19/3,1)&gt;=J$2,CEILING($F$1*IF($Y$15*$AD$15&gt;=$I$1,1,IF($Y$15*$AD$15&gt;=$H$1,0.5,0))*(1+IF($N$15=$D$1,IF($Y$15*$AD$15&gt;=$K$1,0,IF($Y$15*$AD$15&gt;=$J$1,0,0)),0))*$B19*$D19*$E19^(J$2-1),1),0)</f>
        <v>0</v>
      </c>
      <c r="K19" s="47">
        <f>IF(CEILING($B19*$D19/3,1)&gt;=K$2,CEILING($F$1*IF($Y$15*$AD$15&gt;=$I$1,1,IF($Y$15*$AD$15&gt;=$H$1,0.5,0))*(1+IF($N$15=$D$1,IF($Y$15*$AD$15&gt;=$K$1,0,IF($Y$15*$AD$15&gt;=$J$1,0,0)),0))*$B19*$D19*$E19^(K$2-1),1),0)</f>
        <v>0</v>
      </c>
      <c r="L19" s="47">
        <f>IF(CEILING($B19*$D19/3,1)&gt;=L$2,CEILING($F$1*IF($Y$15*$AD$15&gt;=$I$1,1,IF($Y$15*$AD$15&gt;=$H$1,0.5,0))*(1+IF($N$15=$D$1,IF($Y$15*$AD$15&gt;=$K$1,0,IF($Y$15*$AD$15&gt;=$J$1,0,0)),0))*$B19*$D19*$E19^(L$2-1),1),0)</f>
        <v>0</v>
      </c>
      <c r="M19" s="47">
        <f>IF(CEILING($B19*$D19/3,1)&gt;=M$2,CEILING($F$1*IF($Y$15*$AD$15&gt;=$I$1,1,IF($Y$15*$AD$15&gt;=$H$1,0.5,0))*(1+IF($N$15=$D$1,IF($Y$15*$AD$15&gt;=$K$1,0,IF($Y$15*$AD$15&gt;=$J$1,0,0)),0))*$B19*$D19*$E19^(M$2-1),1),0)</f>
        <v>0</v>
      </c>
      <c r="N19" s="47">
        <f>IF(CEILING($B19*$D19/3,1)&gt;=N$2,CEILING($F$1*IF($Y$15*$AD$15&gt;=$I$1,1,IF($Y$15*$AD$15&gt;=$H$1,0.5,0))*(1+IF($N$15=$D$1,IF($Y$15*$AD$15&gt;=$K$1,0,IF($Y$15*$AD$15&gt;=$J$1,0,0)),0))*$B19*$D19*$E19^(N$2-1),1),0)</f>
        <v>0</v>
      </c>
      <c r="O19" s="47">
        <f>IF(CEILING($B19*$D19/3,1)&gt;=O$2,CEILING($F$1*IF($Y$15*$AD$15&gt;=$I$1,1,IF($Y$15*$AD$15&gt;=$H$1,0.5,0))*(1+IF($N$15=$D$1,IF($Y$15*$AD$15&gt;=$K$1,0,IF($Y$15*$AD$15&gt;=$J$1,0,0)),0))*$B19*$D19*$E19^(O$2-1),1),0)</f>
        <v>0</v>
      </c>
      <c r="P19" s="47">
        <f>IF(CEILING($B19*$D19/3,1)&gt;=P$2,CEILING($F$1*IF($Y$15*$AD$15&gt;=$I$1,1,IF($Y$15*$AD$15&gt;=$H$1,0.5,0))*(1+IF($N$15=$D$1,IF($Y$15*$AD$15&gt;=$K$1,0,IF($Y$15*$AD$15&gt;=$J$1,0,0)),0))*$B19*$D19*$E19^(P$2-1),1),0)</f>
        <v>0</v>
      </c>
      <c r="Q19" s="47">
        <f>IF(CEILING($B19*$D19/3,1)&gt;=Q$2,CEILING($F$1*IF($Y$15*$AD$15&gt;=$I$1,1,IF($Y$15*$AD$15&gt;=$H$1,0.5,0))*(1+IF($N$15=$D$1,IF($Y$15*$AD$15&gt;=$K$1,0,IF($Y$15*$AD$15&gt;=$J$1,0,0)),0))*$B19*$D19*$E19^(Q$2-1),1),0)</f>
        <v>0</v>
      </c>
      <c r="R19" s="47">
        <f>IF(CEILING($B19*$D19/3,1)&gt;=R$2,CEILING($F$1*IF($Y$15*$AD$15&gt;=$I$1,1,IF($Y$15*$AD$15&gt;=$H$1,0.5,0))*(1+IF($N$15=$D$1,IF($Y$15*$AD$15&gt;=$K$1,0,IF($Y$15*$AD$15&gt;=$J$1,0,0)),0))*$B19*$D19*$E19^(R$2-1),1),0)</f>
        <v>0</v>
      </c>
      <c r="S19" s="47">
        <f>IF(CEILING($B19*$D19/3,1)&gt;=S$2,CEILING($F$1*IF($Y$15*$AD$15&gt;=$I$1,1,IF($Y$15*$AD$15&gt;=$H$1,0.5,0))*(1+IF($N$15=$D$1,IF($Y$15*$AD$15&gt;=$K$1,0,IF($Y$15*$AD$15&gt;=$J$1,0,0)),0))*$B19*$D19*$E19^(S$2-1),1),0)</f>
        <v>0</v>
      </c>
      <c r="T19" s="47">
        <f>IF(CEILING($B19*$D19/3,1)&gt;=T$2,CEILING($F$1*IF($Y$15*$AD$15&gt;=$I$1,1,IF($Y$15*$AD$15&gt;=$H$1,0.5,0))*(1+IF($N$15=$D$1,IF($Y$15*$AD$15&gt;=$K$1,0,IF($Y$15*$AD$15&gt;=$J$1,0,0)),0))*$B19*$D19*$E19^(T$2-1),1),0)</f>
        <v>0</v>
      </c>
      <c r="U19" s="47">
        <f>IF(CEILING($B19*$D19/3,1)&gt;=U$2,CEILING($F$1*IF($Y$15*$AD$15&gt;=$I$1,1,IF($Y$15*$AD$15&gt;=$H$1,0.5,0))*(1+IF($N$15=$D$1,IF($Y$15*$AD$15&gt;=$K$1,0,IF($Y$15*$AD$15&gt;=$J$1,0,0)),0))*$B19*$D19*$E19^(U$2-1),1),0)</f>
        <v>0</v>
      </c>
      <c r="V19" s="47">
        <f>IF(CEILING($B19*$D19/3,1)&gt;=V$2,CEILING($F$1*IF($Y$15*$AD$15&gt;=$I$1,1,IF($Y$15*$AD$15&gt;=$H$1,0.5,0))*(1+IF($N$15=$D$1,IF($Y$15*$AD$15&gt;=$K$1,0,IF($Y$15*$AD$15&gt;=$J$1,0,0)),0))*$B19*$D19*$E19^(V$2-1),1),0)</f>
        <v>0</v>
      </c>
      <c r="W19" s="47">
        <f>IF(CEILING($B19*$D19/3,1)&gt;=W$2,CEILING($F$1*IF($Y$15*$AD$15&gt;=$I$1,1,IF($Y$15*$AD$15&gt;=$H$1,0.5,0))*(1+IF($N$15=$D$1,IF($Y$15*$AD$15&gt;=$K$1,0,IF($Y$15*$AD$15&gt;=$J$1,0,0)),0))*$B19*$D19*$E19^(W$2-1),1),0)</f>
        <v>0</v>
      </c>
      <c r="X19" s="47">
        <f>IF(CEILING($B19*$D19/3,1)&gt;=X$2,CEILING($F$1*IF($Y$15*$AD$15&gt;=$I$1,1,IF($Y$15*$AD$15&gt;=$H$1,0.5,0))*(1+IF($N$15=$D$1,IF($Y$15*$AD$15&gt;=$K$1,0,IF($Y$15*$AD$15&gt;=$J$1,0,0)),0))*$B19*$D19*$E19^(X$2-1),1),0)</f>
        <v>0</v>
      </c>
      <c r="Y19" s="47">
        <f>IF(CEILING($B19*$D19/3,1)&gt;=Y$2,CEILING($F$1*IF($Y$15*$AD$15&gt;=$I$1,1,IF($Y$15*$AD$15&gt;=$H$1,0.5,0))*(1+IF($N$15=$D$1,IF($Y$15*$AD$15&gt;=$K$1,0,IF($Y$15*$AD$15&gt;=$J$1,0,0)),0))*$B19*$D19*$E19^(Y$2-1),1),0)</f>
        <v>0</v>
      </c>
      <c r="Z19" s="47">
        <f>IF(CEILING($B19*$D19/3,1)&gt;=Z$2,CEILING($F$1*IF($Y$15*$AD$15&gt;=$I$1,1,IF($Y$15*$AD$15&gt;=$H$1,0.5,0))*(1+IF($N$15=$D$1,IF($Y$15*$AD$15&gt;=$K$1,0,IF($Y$15*$AD$15&gt;=$J$1,0,0)),0))*$B19*$D19*$E19^(Z$2-1),1),0)</f>
        <v>0</v>
      </c>
      <c r="AA19" s="47">
        <f>IF(CEILING($B19*$D19/3,1)&gt;=AA$2,CEILING($F$1*IF($Y$15*$AD$15&gt;=$I$1,1,IF($Y$15*$AD$15&gt;=$H$1,0.5,0))*(1+IF($N$15=$D$1,IF($Y$15*$AD$15&gt;=$K$1,0,IF($Y$15*$AD$15&gt;=$J$1,0,0)),0))*$B19*$D19*$E19^(AA$2-1),1),0)</f>
        <v>0</v>
      </c>
      <c r="AB19" s="47">
        <f>IF(CEILING($B19*$D19/3,1)&gt;=AB$2,CEILING($F$1*IF($Y$15*$AD$15&gt;=$I$1,1,IF($Y$15*$AD$15&gt;=$H$1,0.5,0))*(1+IF($N$15=$D$1,IF($Y$15*$AD$15&gt;=$K$1,0,IF($Y$15*$AD$15&gt;=$J$1,0,0)),0))*$B19*$D19*$E19^(AB$2-1),1),0)</f>
        <v>0</v>
      </c>
      <c r="AC19" s="47">
        <f>IF(CEILING($B19*$D19/3,1)&gt;=AC$2,CEILING($F$1*IF($Y$15*$AD$15&gt;=$I$1,1,IF($Y$15*$AD$15&gt;=$H$1,0.5,0))*(1+IF($N$15=$D$1,IF($Y$15*$AD$15&gt;=$K$1,0,IF($Y$15*$AD$15&gt;=$J$1,0,0)),0))*$B19*$D19*$E19^(AC$2-1),1),0)</f>
        <v>0</v>
      </c>
      <c r="AD19" s="47">
        <f>IF(CEILING($B19*$D19/3,1)&gt;=AD$2,CEILING($F$1*IF($Y$15*$AD$15&gt;=$I$1,1,IF($Y$15*$AD$15&gt;=$H$1,0.5,0))*(1+IF($N$15=$D$1,IF($Y$15*$AD$15&gt;=$K$1,0,IF($Y$15*$AD$15&gt;=$J$1,0,0)),0))*$B19*$D19*$E19^(AD$2-1),1),0)</f>
        <v>0</v>
      </c>
      <c r="AE19" s="47">
        <f>IF(CEILING($B19*$D19/3,1)&gt;=AE$2,CEILING($F$1*IF($Y$15*$AD$15&gt;=$I$1,1,IF($Y$15*$AD$15&gt;=$H$1,0.5,0))*(1+IF($N$15=$D$1,IF($Y$15*$AD$15&gt;=$K$1,0,IF($Y$15*$AD$15&gt;=$J$1,0,0)),0))*$B19*$D19*$E19^(AE$2-1),1),0)</f>
        <v>0</v>
      </c>
      <c r="AF19" s="47">
        <f>IF(CEILING($B19*$D19/3,1)&gt;=AF$2,CEILING($F$1*IF($Y$15*$AD$15&gt;=$I$1,1,IF($Y$15*$AD$15&gt;=$H$1,0.5,0))*(1+IF($N$15=$D$1,IF($Y$15*$AD$15&gt;=$K$1,0,IF($Y$15*$AD$15&gt;=$J$1,0,0)),0))*$B19*$D19*$E19^(AF$2-1),1),0)</f>
        <v>0</v>
      </c>
      <c r="AG19" s="47">
        <f>IF(CEILING($B19*$D19/3,1)&gt;=AG$2,CEILING($F$1*IF($Y$15*$AD$15&gt;=$I$1,1,IF($Y$15*$AD$15&gt;=$H$1,0.5,0))*(1+IF($N$15=$D$1,IF($Y$15*$AD$15&gt;=$K$1,0,IF($Y$15*$AD$15&gt;=$J$1,0,0)),0))*$B19*$D19*$E19^(AG$2-1),1),0)</f>
        <v>0</v>
      </c>
      <c r="AH19" s="47">
        <f>IF(CEILING($B19*$D19/3,1)&gt;=AH$2,CEILING($F$1*IF($Y$15*$AD$15&gt;=$I$1,1,IF($Y$15*$AD$15&gt;=$H$1,0.5,0))*(1+IF($N$15=$D$1,IF($Y$15*$AD$15&gt;=$K$1,0,IF($Y$15*$AD$15&gt;=$J$1,0,0)),0))*$B19*$D19*$E19^(AH$2-1),1),0)</f>
        <v>0</v>
      </c>
      <c r="AI19" s="48">
        <f>IF(CEILING($B19*$D19/3,1)&gt;=AI$2,CEILING($F$1*IF($Y$15*$AD$15&gt;=$I$1,1,IF($Y$15*$AD$15&gt;=$H$1,0.5,0))*(1+IF($N$15=$D$1,IF($Y$15*$AD$15&gt;=$K$1,0,IF($Y$15*$AD$15&gt;=$J$1,0,0)),0))*$B19*$D19*$E19^(AI$2-1),1),0)</f>
        <v>0</v>
      </c>
    </row>
    <row r="20" spans="1:35" ht="15" customHeight="1" x14ac:dyDescent="0.25">
      <c r="A20" s="58"/>
      <c r="B20" s="60"/>
      <c r="C20" s="6"/>
      <c r="D20" s="68"/>
      <c r="E20" s="64"/>
      <c r="F20" s="49"/>
      <c r="G20" s="49"/>
      <c r="H20" s="49"/>
      <c r="I20" s="49"/>
      <c r="J20" s="50"/>
      <c r="K20" s="50"/>
      <c r="L20" s="50"/>
      <c r="M20" s="50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51"/>
    </row>
    <row r="21" spans="1:35" x14ac:dyDescent="0.25">
      <c r="A21" s="58"/>
      <c r="B21" s="60"/>
      <c r="C21" s="6"/>
      <c r="D21" s="68"/>
      <c r="E21" s="64"/>
      <c r="F21" s="117" t="s">
        <v>11</v>
      </c>
      <c r="G21" s="117"/>
      <c r="H21" s="117"/>
      <c r="I21" s="36">
        <v>5</v>
      </c>
      <c r="J21" s="113" t="s">
        <v>3</v>
      </c>
      <c r="K21" s="113"/>
      <c r="L21" s="113"/>
      <c r="M21" s="113"/>
      <c r="N21" s="118" t="s">
        <v>5</v>
      </c>
      <c r="O21" s="118"/>
      <c r="P21" s="115" t="s">
        <v>1</v>
      </c>
      <c r="Q21" s="115"/>
      <c r="R21" s="115"/>
      <c r="S21" s="115"/>
      <c r="T21" s="15">
        <v>10</v>
      </c>
      <c r="U21" s="116" t="s">
        <v>2</v>
      </c>
      <c r="V21" s="116"/>
      <c r="W21" s="116"/>
      <c r="X21" s="116"/>
      <c r="Y21" s="15">
        <v>9</v>
      </c>
      <c r="Z21" s="116" t="s">
        <v>4</v>
      </c>
      <c r="AA21" s="116"/>
      <c r="AB21" s="116"/>
      <c r="AC21" s="116"/>
      <c r="AD21" s="15">
        <v>3</v>
      </c>
      <c r="AE21" s="26"/>
      <c r="AF21" s="26"/>
      <c r="AG21" s="26"/>
      <c r="AH21" s="26"/>
      <c r="AI21" s="27"/>
    </row>
    <row r="22" spans="1:35" x14ac:dyDescent="0.25">
      <c r="A22" s="58">
        <v>1</v>
      </c>
      <c r="B22" s="60">
        <v>1.2</v>
      </c>
      <c r="C22" s="16">
        <v>0</v>
      </c>
      <c r="D22" s="67">
        <f>CEILING(1+MIN(T$21-C22-1,$L$1)+(T$21-C22-1-MIN(T$21-C22-1,$L$1))/$M$1,1)</f>
        <v>10</v>
      </c>
      <c r="E22" s="63">
        <f>MAX(($G$1/($F$1*D22))^(1/(ROUNDUP(D22/3,)-1)),2/3)</f>
        <v>0.66666666666666663</v>
      </c>
      <c r="F22" s="47">
        <f>IF(CEILING($B22*$D22/3,1)&gt;=F$2,CEILING($F$1*IF($Y$21*$AD$21&gt;=$I$1,1,IF($Y$21*$AD$21&gt;=$H$1,0.5,0))*(1+IF($N$21=$D$1,IF($Y$21*$AD$21&gt;=$K$1,0,IF($Y$21*$AD$21&gt;=$J$1,0,0)),0))*$B22*$D22*$E22^(F$2-1),1),0)</f>
        <v>36</v>
      </c>
      <c r="G22" s="47">
        <f>IF(CEILING($B22*$D22/3,1)&gt;=G$2,CEILING($F$1*IF($Y$21*$AD$21&gt;=$I$1,1,IF($Y$21*$AD$21&gt;=$H$1,0.5,0))*(1+IF($N$21=$D$1,IF($Y$21*$AD$21&gt;=$K$1,0,IF($Y$21*$AD$21&gt;=$J$1,0,0)),0))*$B22*$D22*$E22^(G$2-1),1),0)</f>
        <v>24</v>
      </c>
      <c r="H22" s="47">
        <f>IF(CEILING($B22*$D22/3,1)&gt;=H$2,CEILING($F$1*IF($Y$21*$AD$21&gt;=$I$1,1,IF($Y$21*$AD$21&gt;=$H$1,0.5,0))*(1+IF($N$21=$D$1,IF($Y$21*$AD$21&gt;=$K$1,0,IF($Y$21*$AD$21&gt;=$J$1,0,0)),0))*$B22*$D22*$E22^(H$2-1),1),0)</f>
        <v>16</v>
      </c>
      <c r="I22" s="47">
        <f>IF(CEILING($B22*$D22/3,1)&gt;=I$2,CEILING($F$1*IF($Y$21*$AD$21&gt;=$I$1,1,IF($Y$21*$AD$21&gt;=$H$1,0.5,0))*(1+IF($N$21=$D$1,IF($Y$21*$AD$21&gt;=$K$1,0,IF($Y$21*$AD$21&gt;=$J$1,0,0)),0))*$B22*$D22*$E22^(I$2-1),1),0)</f>
        <v>11</v>
      </c>
      <c r="J22" s="47">
        <f>IF(CEILING($B22*$D22/3,1)&gt;=J$2,CEILING($F$1*IF($Y$21*$AD$21&gt;=$I$1,1,IF($Y$21*$AD$21&gt;=$H$1,0.5,0))*(1+IF($N$21=$D$1,IF($Y$21*$AD$21&gt;=$K$1,0,IF($Y$21*$AD$21&gt;=$J$1,0,0)),0))*$B22*$D22*$E22^(J$2-1),1),0)</f>
        <v>0</v>
      </c>
      <c r="K22" s="47">
        <f>IF(CEILING($B22*$D22/3,1)&gt;=K$2,CEILING($F$1*IF($Y$21*$AD$21&gt;=$I$1,1,IF($Y$21*$AD$21&gt;=$H$1,0.5,0))*(1+IF($N$21=$D$1,IF($Y$21*$AD$21&gt;=$K$1,0,IF($Y$21*$AD$21&gt;=$J$1,0,0)),0))*$B22*$D22*$E22^(K$2-1),1),0)</f>
        <v>0</v>
      </c>
      <c r="L22" s="47">
        <f>IF(CEILING($B22*$D22/3,1)&gt;=L$2,CEILING($F$1*IF($Y$21*$AD$21&gt;=$I$1,1,IF($Y$21*$AD$21&gt;=$H$1,0.5,0))*(1+IF($N$21=$D$1,IF($Y$21*$AD$21&gt;=$K$1,0,IF($Y$21*$AD$21&gt;=$J$1,0,0)),0))*$B22*$D22*$E22^(L$2-1),1),0)</f>
        <v>0</v>
      </c>
      <c r="M22" s="47">
        <f>IF(CEILING($B22*$D22/3,1)&gt;=M$2,CEILING($F$1*IF($Y$21*$AD$21&gt;=$I$1,1,IF($Y$21*$AD$21&gt;=$H$1,0.5,0))*(1+IF($N$21=$D$1,IF($Y$21*$AD$21&gt;=$K$1,0,IF($Y$21*$AD$21&gt;=$J$1,0,0)),0))*$B22*$D22*$E22^(M$2-1),1),0)</f>
        <v>0</v>
      </c>
      <c r="N22" s="47">
        <f>IF(CEILING($B22*$D22/3,1)&gt;=N$2,CEILING($F$1*IF($Y$21*$AD$21&gt;=$I$1,1,IF($Y$21*$AD$21&gt;=$H$1,0.5,0))*(1+IF($N$21=$D$1,IF($Y$21*$AD$21&gt;=$K$1,0,IF($Y$21*$AD$21&gt;=$J$1,0,0)),0))*$B22*$D22*$E22^(N$2-1),1),0)</f>
        <v>0</v>
      </c>
      <c r="O22" s="47">
        <f>IF(CEILING($B22*$D22/3,1)&gt;=O$2,CEILING($F$1*IF($Y$21*$AD$21&gt;=$I$1,1,IF($Y$21*$AD$21&gt;=$H$1,0.5,0))*(1+IF($N$21=$D$1,IF($Y$21*$AD$21&gt;=$K$1,0,IF($Y$21*$AD$21&gt;=$J$1,0,0)),0))*$B22*$D22*$E22^(O$2-1),1),0)</f>
        <v>0</v>
      </c>
      <c r="P22" s="47">
        <f>IF(CEILING($B22*$D22/3,1)&gt;=P$2,CEILING($F$1*IF($Y$21*$AD$21&gt;=$I$1,1,IF($Y$21*$AD$21&gt;=$H$1,0.5,0))*(1+IF($N$21=$D$1,IF($Y$21*$AD$21&gt;=$K$1,0,IF($Y$21*$AD$21&gt;=$J$1,0,0)),0))*$B22*$D22*$E22^(P$2-1),1),0)</f>
        <v>0</v>
      </c>
      <c r="Q22" s="47">
        <f>IF(CEILING($B22*$D22/3,1)&gt;=Q$2,CEILING($F$1*IF($Y$21*$AD$21&gt;=$I$1,1,IF($Y$21*$AD$21&gt;=$H$1,0.5,0))*(1+IF($N$21=$D$1,IF($Y$21*$AD$21&gt;=$K$1,0,IF($Y$21*$AD$21&gt;=$J$1,0,0)),0))*$B22*$D22*$E22^(Q$2-1),1),0)</f>
        <v>0</v>
      </c>
      <c r="R22" s="47">
        <f>IF(CEILING($B22*$D22/3,1)&gt;=R$2,CEILING($F$1*IF($Y$21*$AD$21&gt;=$I$1,1,IF($Y$21*$AD$21&gt;=$H$1,0.5,0))*(1+IF($N$21=$D$1,IF($Y$21*$AD$21&gt;=$K$1,0,IF($Y$21*$AD$21&gt;=$J$1,0,0)),0))*$B22*$D22*$E22^(R$2-1),1),0)</f>
        <v>0</v>
      </c>
      <c r="S22" s="47">
        <f>IF(CEILING($B22*$D22/3,1)&gt;=S$2,CEILING($F$1*IF($Y$21*$AD$21&gt;=$I$1,1,IF($Y$21*$AD$21&gt;=$H$1,0.5,0))*(1+IF($N$21=$D$1,IF($Y$21*$AD$21&gt;=$K$1,0,IF($Y$21*$AD$21&gt;=$J$1,0,0)),0))*$B22*$D22*$E22^(S$2-1),1),0)</f>
        <v>0</v>
      </c>
      <c r="T22" s="47">
        <f>IF(CEILING($B22*$D22/3,1)&gt;=T$2,CEILING($F$1*IF($Y$21*$AD$21&gt;=$I$1,1,IF($Y$21*$AD$21&gt;=$H$1,0.5,0))*(1+IF($N$21=$D$1,IF($Y$21*$AD$21&gt;=$K$1,0,IF($Y$21*$AD$21&gt;=$J$1,0,0)),0))*$B22*$D22*$E22^(T$2-1),1),0)</f>
        <v>0</v>
      </c>
      <c r="U22" s="47">
        <f>IF(CEILING($B22*$D22/3,1)&gt;=U$2,CEILING($F$1*IF($Y$21*$AD$21&gt;=$I$1,1,IF($Y$21*$AD$21&gt;=$H$1,0.5,0))*(1+IF($N$21=$D$1,IF($Y$21*$AD$21&gt;=$K$1,0,IF($Y$21*$AD$21&gt;=$J$1,0,0)),0))*$B22*$D22*$E22^(U$2-1),1),0)</f>
        <v>0</v>
      </c>
      <c r="V22" s="47">
        <f>IF(CEILING($B22*$D22/3,1)&gt;=V$2,CEILING($F$1*IF($Y$21*$AD$21&gt;=$I$1,1,IF($Y$21*$AD$21&gt;=$H$1,0.5,0))*(1+IF($N$21=$D$1,IF($Y$21*$AD$21&gt;=$K$1,0,IF($Y$21*$AD$21&gt;=$J$1,0,0)),0))*$B22*$D22*$E22^(V$2-1),1),0)</f>
        <v>0</v>
      </c>
      <c r="W22" s="47">
        <f>IF(CEILING($B22*$D22/3,1)&gt;=W$2,CEILING($F$1*IF($Y$21*$AD$21&gt;=$I$1,1,IF($Y$21*$AD$21&gt;=$H$1,0.5,0))*(1+IF($N$21=$D$1,IF($Y$21*$AD$21&gt;=$K$1,0,IF($Y$21*$AD$21&gt;=$J$1,0,0)),0))*$B22*$D22*$E22^(W$2-1),1),0)</f>
        <v>0</v>
      </c>
      <c r="X22" s="47">
        <f>IF(CEILING($B22*$D22/3,1)&gt;=X$2,CEILING($F$1*IF($Y$21*$AD$21&gt;=$I$1,1,IF($Y$21*$AD$21&gt;=$H$1,0.5,0))*(1+IF($N$21=$D$1,IF($Y$21*$AD$21&gt;=$K$1,0,IF($Y$21*$AD$21&gt;=$J$1,0,0)),0))*$B22*$D22*$E22^(X$2-1),1),0)</f>
        <v>0</v>
      </c>
      <c r="Y22" s="47">
        <f>IF(CEILING($B22*$D22/3,1)&gt;=Y$2,CEILING($F$1*IF($Y$21*$AD$21&gt;=$I$1,1,IF($Y$21*$AD$21&gt;=$H$1,0.5,0))*(1+IF($N$21=$D$1,IF($Y$21*$AD$21&gt;=$K$1,0,IF($Y$21*$AD$21&gt;=$J$1,0,0)),0))*$B22*$D22*$E22^(Y$2-1),1),0)</f>
        <v>0</v>
      </c>
      <c r="Z22" s="47">
        <f>IF(CEILING($B22*$D22/3,1)&gt;=Z$2,CEILING($F$1*IF($Y$21*$AD$21&gt;=$I$1,1,IF($Y$21*$AD$21&gt;=$H$1,0.5,0))*(1+IF($N$21=$D$1,IF($Y$21*$AD$21&gt;=$K$1,0,IF($Y$21*$AD$21&gt;=$J$1,0,0)),0))*$B22*$D22*$E22^(Z$2-1),1),0)</f>
        <v>0</v>
      </c>
      <c r="AA22" s="47">
        <f>IF(CEILING($B22*$D22/3,1)&gt;=AA$2,CEILING($F$1*IF($Y$21*$AD$21&gt;=$I$1,1,IF($Y$21*$AD$21&gt;=$H$1,0.5,0))*(1+IF($N$21=$D$1,IF($Y$21*$AD$21&gt;=$K$1,0,IF($Y$21*$AD$21&gt;=$J$1,0,0)),0))*$B22*$D22*$E22^(AA$2-1),1),0)</f>
        <v>0</v>
      </c>
      <c r="AB22" s="47">
        <f>IF(CEILING($B22*$D22/3,1)&gt;=AB$2,CEILING($F$1*IF($Y$21*$AD$21&gt;=$I$1,1,IF($Y$21*$AD$21&gt;=$H$1,0.5,0))*(1+IF($N$21=$D$1,IF($Y$21*$AD$21&gt;=$K$1,0,IF($Y$21*$AD$21&gt;=$J$1,0,0)),0))*$B22*$D22*$E22^(AB$2-1),1),0)</f>
        <v>0</v>
      </c>
      <c r="AC22" s="47">
        <f>IF(CEILING($B22*$D22/3,1)&gt;=AC$2,CEILING($F$1*IF($Y$21*$AD$21&gt;=$I$1,1,IF($Y$21*$AD$21&gt;=$H$1,0.5,0))*(1+IF($N$21=$D$1,IF($Y$21*$AD$21&gt;=$K$1,0,IF($Y$21*$AD$21&gt;=$J$1,0,0)),0))*$B22*$D22*$E22^(AC$2-1),1),0)</f>
        <v>0</v>
      </c>
      <c r="AD22" s="47">
        <f>IF(CEILING($B22*$D22/3,1)&gt;=AD$2,CEILING($F$1*IF($Y$21*$AD$21&gt;=$I$1,1,IF($Y$21*$AD$21&gt;=$H$1,0.5,0))*(1+IF($N$21=$D$1,IF($Y$21*$AD$21&gt;=$K$1,0,IF($Y$21*$AD$21&gt;=$J$1,0,0)),0))*$B22*$D22*$E22^(AD$2-1),1),0)</f>
        <v>0</v>
      </c>
      <c r="AE22" s="47">
        <f>IF(CEILING($B22*$D22/3,1)&gt;=AE$2,CEILING($F$1*IF($Y$21*$AD$21&gt;=$I$1,1,IF($Y$21*$AD$21&gt;=$H$1,0.5,0))*(1+IF($N$21=$D$1,IF($Y$21*$AD$21&gt;=$K$1,0,IF($Y$21*$AD$21&gt;=$J$1,0,0)),0))*$B22*$D22*$E22^(AE$2-1),1),0)</f>
        <v>0</v>
      </c>
      <c r="AF22" s="47">
        <f>IF(CEILING($B22*$D22/3,1)&gt;=AF$2,CEILING($F$1*IF($Y$21*$AD$21&gt;=$I$1,1,IF($Y$21*$AD$21&gt;=$H$1,0.5,0))*(1+IF($N$21=$D$1,IF($Y$21*$AD$21&gt;=$K$1,0,IF($Y$21*$AD$21&gt;=$J$1,0,0)),0))*$B22*$D22*$E22^(AF$2-1),1),0)</f>
        <v>0</v>
      </c>
      <c r="AG22" s="47">
        <f>IF(CEILING($B22*$D22/3,1)&gt;=AG$2,CEILING($F$1*IF($Y$21*$AD$21&gt;=$I$1,1,IF($Y$21*$AD$21&gt;=$H$1,0.5,0))*(1+IF($N$21=$D$1,IF($Y$21*$AD$21&gt;=$K$1,0,IF($Y$21*$AD$21&gt;=$J$1,0,0)),0))*$B22*$D22*$E22^(AG$2-1),1),0)</f>
        <v>0</v>
      </c>
      <c r="AH22" s="47">
        <f>IF(CEILING($B22*$D22/3,1)&gt;=AH$2,CEILING($F$1*IF($Y$21*$AD$21&gt;=$I$1,1,IF($Y$21*$AD$21&gt;=$H$1,0.5,0))*(1+IF($N$21=$D$1,IF($Y$21*$AD$21&gt;=$K$1,0,IF($Y$21*$AD$21&gt;=$J$1,0,0)),0))*$B22*$D22*$E22^(AH$2-1),1),0)</f>
        <v>0</v>
      </c>
      <c r="AI22" s="48">
        <f>IF(CEILING($B22*$D22/3,1)&gt;=AI$2,CEILING($F$1*IF($Y$21*$AD$21&gt;=$I$1,1,IF($Y$21*$AD$21&gt;=$H$1,0.5,0))*(1+IF($N$21=$D$1,IF($Y$21*$AD$21&gt;=$K$1,0,IF($Y$21*$AD$21&gt;=$J$1,0,0)),0))*$B22*$D22*$E22^(AI$2-1),1),0)</f>
        <v>0</v>
      </c>
    </row>
    <row r="23" spans="1:35" x14ac:dyDescent="0.25">
      <c r="A23" s="58">
        <v>2</v>
      </c>
      <c r="B23" s="60">
        <v>1.1000000000000001</v>
      </c>
      <c r="C23" s="16">
        <v>0</v>
      </c>
      <c r="D23" s="67">
        <f>CEILING(1+MIN(T$21-C23-1,$L$1)+(T$21-C23-1-MIN(T$21-C23-1,$L$1))/$M$1,1)</f>
        <v>10</v>
      </c>
      <c r="E23" s="63">
        <f>MAX(($G$1/($F$1*D23))^(1/(ROUNDUP(D23/3,)-1)),2/3)</f>
        <v>0.66666666666666663</v>
      </c>
      <c r="F23" s="47">
        <f>IF(CEILING($B23*$D23/3,1)&gt;=F$2,CEILING($F$1*IF($Y$21*$AD$21&gt;=$I$1,1,IF($Y$21*$AD$21&gt;=$H$1,0.5,0))*(1+IF($N$21=$D$1,IF($Y$21*$AD$21&gt;=$K$1,0,IF($Y$21*$AD$21&gt;=$J$1,0,0)),0))*$B23*$D23*$E23^(F$2-1),1),0)</f>
        <v>33</v>
      </c>
      <c r="G23" s="47">
        <f>IF(CEILING($B23*$D23/3,1)&gt;=G$2,CEILING($F$1*IF($Y$21*$AD$21&gt;=$I$1,1,IF($Y$21*$AD$21&gt;=$H$1,0.5,0))*(1+IF($N$21=$D$1,IF($Y$21*$AD$21&gt;=$K$1,0,IF($Y$21*$AD$21&gt;=$J$1,0,0)),0))*$B23*$D23*$E23^(G$2-1),1),0)</f>
        <v>22</v>
      </c>
      <c r="H23" s="47">
        <f>IF(CEILING($B23*$D23/3,1)&gt;=H$2,CEILING($F$1*IF($Y$21*$AD$21&gt;=$I$1,1,IF($Y$21*$AD$21&gt;=$H$1,0.5,0))*(1+IF($N$21=$D$1,IF($Y$21*$AD$21&gt;=$K$1,0,IF($Y$21*$AD$21&gt;=$J$1,0,0)),0))*$B23*$D23*$E23^(H$2-1),1),0)</f>
        <v>15</v>
      </c>
      <c r="I23" s="47">
        <f>IF(CEILING($B23*$D23/3,1)&gt;=I$2,CEILING($F$1*IF($Y$21*$AD$21&gt;=$I$1,1,IF($Y$21*$AD$21&gt;=$H$1,0.5,0))*(1+IF($N$21=$D$1,IF($Y$21*$AD$21&gt;=$K$1,0,IF($Y$21*$AD$21&gt;=$J$1,0,0)),0))*$B23*$D23*$E23^(I$2-1),1),0)</f>
        <v>10</v>
      </c>
      <c r="J23" s="47">
        <f>IF(CEILING($B23*$D23/3,1)&gt;=J$2,CEILING($F$1*IF($Y$21*$AD$21&gt;=$I$1,1,IF($Y$21*$AD$21&gt;=$H$1,0.5,0))*(1+IF($N$21=$D$1,IF($Y$21*$AD$21&gt;=$K$1,0,IF($Y$21*$AD$21&gt;=$J$1,0,0)),0))*$B23*$D23*$E23^(J$2-1),1),0)</f>
        <v>0</v>
      </c>
      <c r="K23" s="47">
        <f>IF(CEILING($B23*$D23/3,1)&gt;=K$2,CEILING($F$1*IF($Y$21*$AD$21&gt;=$I$1,1,IF($Y$21*$AD$21&gt;=$H$1,0.5,0))*(1+IF($N$21=$D$1,IF($Y$21*$AD$21&gt;=$K$1,0,IF($Y$21*$AD$21&gt;=$J$1,0,0)),0))*$B23*$D23*$E23^(K$2-1),1),0)</f>
        <v>0</v>
      </c>
      <c r="L23" s="47">
        <f>IF(CEILING($B23*$D23/3,1)&gt;=L$2,CEILING($F$1*IF($Y$21*$AD$21&gt;=$I$1,1,IF($Y$21*$AD$21&gt;=$H$1,0.5,0))*(1+IF($N$21=$D$1,IF($Y$21*$AD$21&gt;=$K$1,0,IF($Y$21*$AD$21&gt;=$J$1,0,0)),0))*$B23*$D23*$E23^(L$2-1),1),0)</f>
        <v>0</v>
      </c>
      <c r="M23" s="47">
        <f>IF(CEILING($B23*$D23/3,1)&gt;=M$2,CEILING($F$1*IF($Y$21*$AD$21&gt;=$I$1,1,IF($Y$21*$AD$21&gt;=$H$1,0.5,0))*(1+IF($N$21=$D$1,IF($Y$21*$AD$21&gt;=$K$1,0,IF($Y$21*$AD$21&gt;=$J$1,0,0)),0))*$B23*$D23*$E23^(M$2-1),1),0)</f>
        <v>0</v>
      </c>
      <c r="N23" s="47">
        <f>IF(CEILING($B23*$D23/3,1)&gt;=N$2,CEILING($F$1*IF($Y$21*$AD$21&gt;=$I$1,1,IF($Y$21*$AD$21&gt;=$H$1,0.5,0))*(1+IF($N$21=$D$1,IF($Y$21*$AD$21&gt;=$K$1,0,IF($Y$21*$AD$21&gt;=$J$1,0,0)),0))*$B23*$D23*$E23^(N$2-1),1),0)</f>
        <v>0</v>
      </c>
      <c r="O23" s="47">
        <f>IF(CEILING($B23*$D23/3,1)&gt;=O$2,CEILING($F$1*IF($Y$21*$AD$21&gt;=$I$1,1,IF($Y$21*$AD$21&gt;=$H$1,0.5,0))*(1+IF($N$21=$D$1,IF($Y$21*$AD$21&gt;=$K$1,0,IF($Y$21*$AD$21&gt;=$J$1,0,0)),0))*$B23*$D23*$E23^(O$2-1),1),0)</f>
        <v>0</v>
      </c>
      <c r="P23" s="47">
        <f>IF(CEILING($B23*$D23/3,1)&gt;=P$2,CEILING($F$1*IF($Y$21*$AD$21&gt;=$I$1,1,IF($Y$21*$AD$21&gt;=$H$1,0.5,0))*(1+IF($N$21=$D$1,IF($Y$21*$AD$21&gt;=$K$1,0,IF($Y$21*$AD$21&gt;=$J$1,0,0)),0))*$B23*$D23*$E23^(P$2-1),1),0)</f>
        <v>0</v>
      </c>
      <c r="Q23" s="47">
        <f>IF(CEILING($B23*$D23/3,1)&gt;=Q$2,CEILING($F$1*IF($Y$21*$AD$21&gt;=$I$1,1,IF($Y$21*$AD$21&gt;=$H$1,0.5,0))*(1+IF($N$21=$D$1,IF($Y$21*$AD$21&gt;=$K$1,0,IF($Y$21*$AD$21&gt;=$J$1,0,0)),0))*$B23*$D23*$E23^(Q$2-1),1),0)</f>
        <v>0</v>
      </c>
      <c r="R23" s="47">
        <f>IF(CEILING($B23*$D23/3,1)&gt;=R$2,CEILING($F$1*IF($Y$21*$AD$21&gt;=$I$1,1,IF($Y$21*$AD$21&gt;=$H$1,0.5,0))*(1+IF($N$21=$D$1,IF($Y$21*$AD$21&gt;=$K$1,0,IF($Y$21*$AD$21&gt;=$J$1,0,0)),0))*$B23*$D23*$E23^(R$2-1),1),0)</f>
        <v>0</v>
      </c>
      <c r="S23" s="47">
        <f>IF(CEILING($B23*$D23/3,1)&gt;=S$2,CEILING($F$1*IF($Y$21*$AD$21&gt;=$I$1,1,IF($Y$21*$AD$21&gt;=$H$1,0.5,0))*(1+IF($N$21=$D$1,IF($Y$21*$AD$21&gt;=$K$1,0,IF($Y$21*$AD$21&gt;=$J$1,0,0)),0))*$B23*$D23*$E23^(S$2-1),1),0)</f>
        <v>0</v>
      </c>
      <c r="T23" s="47">
        <f>IF(CEILING($B23*$D23/3,1)&gt;=T$2,CEILING($F$1*IF($Y$21*$AD$21&gt;=$I$1,1,IF($Y$21*$AD$21&gt;=$H$1,0.5,0))*(1+IF($N$21=$D$1,IF($Y$21*$AD$21&gt;=$K$1,0,IF($Y$21*$AD$21&gt;=$J$1,0,0)),0))*$B23*$D23*$E23^(T$2-1),1),0)</f>
        <v>0</v>
      </c>
      <c r="U23" s="47">
        <f>IF(CEILING($B23*$D23/3,1)&gt;=U$2,CEILING($F$1*IF($Y$21*$AD$21&gt;=$I$1,1,IF($Y$21*$AD$21&gt;=$H$1,0.5,0))*(1+IF($N$21=$D$1,IF($Y$21*$AD$21&gt;=$K$1,0,IF($Y$21*$AD$21&gt;=$J$1,0,0)),0))*$B23*$D23*$E23^(U$2-1),1),0)</f>
        <v>0</v>
      </c>
      <c r="V23" s="47">
        <f>IF(CEILING($B23*$D23/3,1)&gt;=V$2,CEILING($F$1*IF($Y$21*$AD$21&gt;=$I$1,1,IF($Y$21*$AD$21&gt;=$H$1,0.5,0))*(1+IF($N$21=$D$1,IF($Y$21*$AD$21&gt;=$K$1,0,IF($Y$21*$AD$21&gt;=$J$1,0,0)),0))*$B23*$D23*$E23^(V$2-1),1),0)</f>
        <v>0</v>
      </c>
      <c r="W23" s="47">
        <f>IF(CEILING($B23*$D23/3,1)&gt;=W$2,CEILING($F$1*IF($Y$21*$AD$21&gt;=$I$1,1,IF($Y$21*$AD$21&gt;=$H$1,0.5,0))*(1+IF($N$21=$D$1,IF($Y$21*$AD$21&gt;=$K$1,0,IF($Y$21*$AD$21&gt;=$J$1,0,0)),0))*$B23*$D23*$E23^(W$2-1),1),0)</f>
        <v>0</v>
      </c>
      <c r="X23" s="47">
        <f>IF(CEILING($B23*$D23/3,1)&gt;=X$2,CEILING($F$1*IF($Y$21*$AD$21&gt;=$I$1,1,IF($Y$21*$AD$21&gt;=$H$1,0.5,0))*(1+IF($N$21=$D$1,IF($Y$21*$AD$21&gt;=$K$1,0,IF($Y$21*$AD$21&gt;=$J$1,0,0)),0))*$B23*$D23*$E23^(X$2-1),1),0)</f>
        <v>0</v>
      </c>
      <c r="Y23" s="47">
        <f>IF(CEILING($B23*$D23/3,1)&gt;=Y$2,CEILING($F$1*IF($Y$21*$AD$21&gt;=$I$1,1,IF($Y$21*$AD$21&gt;=$H$1,0.5,0))*(1+IF($N$21=$D$1,IF($Y$21*$AD$21&gt;=$K$1,0,IF($Y$21*$AD$21&gt;=$J$1,0,0)),0))*$B23*$D23*$E23^(Y$2-1),1),0)</f>
        <v>0</v>
      </c>
      <c r="Z23" s="47">
        <f>IF(CEILING($B23*$D23/3,1)&gt;=Z$2,CEILING($F$1*IF($Y$21*$AD$21&gt;=$I$1,1,IF($Y$21*$AD$21&gt;=$H$1,0.5,0))*(1+IF($N$21=$D$1,IF($Y$21*$AD$21&gt;=$K$1,0,IF($Y$21*$AD$21&gt;=$J$1,0,0)),0))*$B23*$D23*$E23^(Z$2-1),1),0)</f>
        <v>0</v>
      </c>
      <c r="AA23" s="47">
        <f>IF(CEILING($B23*$D23/3,1)&gt;=AA$2,CEILING($F$1*IF($Y$21*$AD$21&gt;=$I$1,1,IF($Y$21*$AD$21&gt;=$H$1,0.5,0))*(1+IF($N$21=$D$1,IF($Y$21*$AD$21&gt;=$K$1,0,IF($Y$21*$AD$21&gt;=$J$1,0,0)),0))*$B23*$D23*$E23^(AA$2-1),1),0)</f>
        <v>0</v>
      </c>
      <c r="AB23" s="47">
        <f>IF(CEILING($B23*$D23/3,1)&gt;=AB$2,CEILING($F$1*IF($Y$21*$AD$21&gt;=$I$1,1,IF($Y$21*$AD$21&gt;=$H$1,0.5,0))*(1+IF($N$21=$D$1,IF($Y$21*$AD$21&gt;=$K$1,0,IF($Y$21*$AD$21&gt;=$J$1,0,0)),0))*$B23*$D23*$E23^(AB$2-1),1),0)</f>
        <v>0</v>
      </c>
      <c r="AC23" s="47">
        <f>IF(CEILING($B23*$D23/3,1)&gt;=AC$2,CEILING($F$1*IF($Y$21*$AD$21&gt;=$I$1,1,IF($Y$21*$AD$21&gt;=$H$1,0.5,0))*(1+IF($N$21=$D$1,IF($Y$21*$AD$21&gt;=$K$1,0,IF($Y$21*$AD$21&gt;=$J$1,0,0)),0))*$B23*$D23*$E23^(AC$2-1),1),0)</f>
        <v>0</v>
      </c>
      <c r="AD23" s="47">
        <f>IF(CEILING($B23*$D23/3,1)&gt;=AD$2,CEILING($F$1*IF($Y$21*$AD$21&gt;=$I$1,1,IF($Y$21*$AD$21&gt;=$H$1,0.5,0))*(1+IF($N$21=$D$1,IF($Y$21*$AD$21&gt;=$K$1,0,IF($Y$21*$AD$21&gt;=$J$1,0,0)),0))*$B23*$D23*$E23^(AD$2-1),1),0)</f>
        <v>0</v>
      </c>
      <c r="AE23" s="47">
        <f>IF(CEILING($B23*$D23/3,1)&gt;=AE$2,CEILING($F$1*IF($Y$21*$AD$21&gt;=$I$1,1,IF($Y$21*$AD$21&gt;=$H$1,0.5,0))*(1+IF($N$21=$D$1,IF($Y$21*$AD$21&gt;=$K$1,0,IF($Y$21*$AD$21&gt;=$J$1,0,0)),0))*$B23*$D23*$E23^(AE$2-1),1),0)</f>
        <v>0</v>
      </c>
      <c r="AF23" s="47">
        <f>IF(CEILING($B23*$D23/3,1)&gt;=AF$2,CEILING($F$1*IF($Y$21*$AD$21&gt;=$I$1,1,IF($Y$21*$AD$21&gt;=$H$1,0.5,0))*(1+IF($N$21=$D$1,IF($Y$21*$AD$21&gt;=$K$1,0,IF($Y$21*$AD$21&gt;=$J$1,0,0)),0))*$B23*$D23*$E23^(AF$2-1),1),0)</f>
        <v>0</v>
      </c>
      <c r="AG23" s="47">
        <f>IF(CEILING($B23*$D23/3,1)&gt;=AG$2,CEILING($F$1*IF($Y$21*$AD$21&gt;=$I$1,1,IF($Y$21*$AD$21&gt;=$H$1,0.5,0))*(1+IF($N$21=$D$1,IF($Y$21*$AD$21&gt;=$K$1,0,IF($Y$21*$AD$21&gt;=$J$1,0,0)),0))*$B23*$D23*$E23^(AG$2-1),1),0)</f>
        <v>0</v>
      </c>
      <c r="AH23" s="47">
        <f>IF(CEILING($B23*$D23/3,1)&gt;=AH$2,CEILING($F$1*IF($Y$21*$AD$21&gt;=$I$1,1,IF($Y$21*$AD$21&gt;=$H$1,0.5,0))*(1+IF($N$21=$D$1,IF($Y$21*$AD$21&gt;=$K$1,0,IF($Y$21*$AD$21&gt;=$J$1,0,0)),0))*$B23*$D23*$E23^(AH$2-1),1),0)</f>
        <v>0</v>
      </c>
      <c r="AI23" s="48">
        <f>IF(CEILING($B23*$D23/3,1)&gt;=AI$2,CEILING($F$1*IF($Y$21*$AD$21&gt;=$I$1,1,IF($Y$21*$AD$21&gt;=$H$1,0.5,0))*(1+IF($N$21=$D$1,IF($Y$21*$AD$21&gt;=$K$1,0,IF($Y$21*$AD$21&gt;=$J$1,0,0)),0))*$B23*$D23*$E23^(AI$2-1),1),0)</f>
        <v>0</v>
      </c>
    </row>
    <row r="24" spans="1:35" x14ac:dyDescent="0.25">
      <c r="A24" s="58">
        <v>3</v>
      </c>
      <c r="B24" s="60">
        <v>1</v>
      </c>
      <c r="C24" s="16">
        <v>0</v>
      </c>
      <c r="D24" s="67">
        <f>CEILING(1+MIN(T$21-C24-1,$L$1)+(T$21-C24-1-MIN(T$21-C24-1,$L$1))/$M$1,1)</f>
        <v>10</v>
      </c>
      <c r="E24" s="63">
        <f>MAX(($G$1/($F$1*D24))^(1/(ROUNDUP(D24/3,)-1)),2/3)</f>
        <v>0.66666666666666663</v>
      </c>
      <c r="F24" s="47">
        <f>IF(CEILING($B24*$D24/3,1)&gt;=F$2,CEILING($F$1*IF($Y$21*$AD$21&gt;=$I$1,1,IF($Y$21*$AD$21&gt;=$H$1,0.5,0))*(1+IF($N$21=$D$1,IF($Y$21*$AD$21&gt;=$K$1,0,IF($Y$21*$AD$21&gt;=$J$1,0,0)),0))*$B24*$D24*$E24^(F$2-1),1),0)</f>
        <v>30</v>
      </c>
      <c r="G24" s="47">
        <f>IF(CEILING($B24*$D24/3,1)&gt;=G$2,CEILING($F$1*IF($Y$21*$AD$21&gt;=$I$1,1,IF($Y$21*$AD$21&gt;=$H$1,0.5,0))*(1+IF($N$21=$D$1,IF($Y$21*$AD$21&gt;=$K$1,0,IF($Y$21*$AD$21&gt;=$J$1,0,0)),0))*$B24*$D24*$E24^(G$2-1),1),0)</f>
        <v>20</v>
      </c>
      <c r="H24" s="47">
        <f>IF(CEILING($B24*$D24/3,1)&gt;=H$2,CEILING($F$1*IF($Y$21*$AD$21&gt;=$I$1,1,IF($Y$21*$AD$21&gt;=$H$1,0.5,0))*(1+IF($N$21=$D$1,IF($Y$21*$AD$21&gt;=$K$1,0,IF($Y$21*$AD$21&gt;=$J$1,0,0)),0))*$B24*$D24*$E24^(H$2-1),1),0)</f>
        <v>14</v>
      </c>
      <c r="I24" s="47">
        <f>IF(CEILING($B24*$D24/3,1)&gt;=I$2,CEILING($F$1*IF($Y$21*$AD$21&gt;=$I$1,1,IF($Y$21*$AD$21&gt;=$H$1,0.5,0))*(1+IF($N$21=$D$1,IF($Y$21*$AD$21&gt;=$K$1,0,IF($Y$21*$AD$21&gt;=$J$1,0,0)),0))*$B24*$D24*$E24^(I$2-1),1),0)</f>
        <v>9</v>
      </c>
      <c r="J24" s="47">
        <f>IF(CEILING($B24*$D24/3,1)&gt;=J$2,CEILING($F$1*IF($Y$21*$AD$21&gt;=$I$1,1,IF($Y$21*$AD$21&gt;=$H$1,0.5,0))*(1+IF($N$21=$D$1,IF($Y$21*$AD$21&gt;=$K$1,0,IF($Y$21*$AD$21&gt;=$J$1,0,0)),0))*$B24*$D24*$E24^(J$2-1),1),0)</f>
        <v>0</v>
      </c>
      <c r="K24" s="47">
        <f>IF(CEILING($B24*$D24/3,1)&gt;=K$2,CEILING($F$1*IF($Y$21*$AD$21&gt;=$I$1,1,IF($Y$21*$AD$21&gt;=$H$1,0.5,0))*(1+IF($N$21=$D$1,IF($Y$21*$AD$21&gt;=$K$1,0,IF($Y$21*$AD$21&gt;=$J$1,0,0)),0))*$B24*$D24*$E24^(K$2-1),1),0)</f>
        <v>0</v>
      </c>
      <c r="L24" s="47">
        <f>IF(CEILING($B24*$D24/3,1)&gt;=L$2,CEILING($F$1*IF($Y$21*$AD$21&gt;=$I$1,1,IF($Y$21*$AD$21&gt;=$H$1,0.5,0))*(1+IF($N$21=$D$1,IF($Y$21*$AD$21&gt;=$K$1,0,IF($Y$21*$AD$21&gt;=$J$1,0,0)),0))*$B24*$D24*$E24^(L$2-1),1),0)</f>
        <v>0</v>
      </c>
      <c r="M24" s="47">
        <f>IF(CEILING($B24*$D24/3,1)&gt;=M$2,CEILING($F$1*IF($Y$21*$AD$21&gt;=$I$1,1,IF($Y$21*$AD$21&gt;=$H$1,0.5,0))*(1+IF($N$21=$D$1,IF($Y$21*$AD$21&gt;=$K$1,0,IF($Y$21*$AD$21&gt;=$J$1,0,0)),0))*$B24*$D24*$E24^(M$2-1),1),0)</f>
        <v>0</v>
      </c>
      <c r="N24" s="47">
        <f>IF(CEILING($B24*$D24/3,1)&gt;=N$2,CEILING($F$1*IF($Y$21*$AD$21&gt;=$I$1,1,IF($Y$21*$AD$21&gt;=$H$1,0.5,0))*(1+IF($N$21=$D$1,IF($Y$21*$AD$21&gt;=$K$1,0,IF($Y$21*$AD$21&gt;=$J$1,0,0)),0))*$B24*$D24*$E24^(N$2-1),1),0)</f>
        <v>0</v>
      </c>
      <c r="O24" s="47">
        <f>IF(CEILING($B24*$D24/3,1)&gt;=O$2,CEILING($F$1*IF($Y$21*$AD$21&gt;=$I$1,1,IF($Y$21*$AD$21&gt;=$H$1,0.5,0))*(1+IF($N$21=$D$1,IF($Y$21*$AD$21&gt;=$K$1,0,IF($Y$21*$AD$21&gt;=$J$1,0,0)),0))*$B24*$D24*$E24^(O$2-1),1),0)</f>
        <v>0</v>
      </c>
      <c r="P24" s="47">
        <f>IF(CEILING($B24*$D24/3,1)&gt;=P$2,CEILING($F$1*IF($Y$21*$AD$21&gt;=$I$1,1,IF($Y$21*$AD$21&gt;=$H$1,0.5,0))*(1+IF($N$21=$D$1,IF($Y$21*$AD$21&gt;=$K$1,0,IF($Y$21*$AD$21&gt;=$J$1,0,0)),0))*$B24*$D24*$E24^(P$2-1),1),0)</f>
        <v>0</v>
      </c>
      <c r="Q24" s="47">
        <f>IF(CEILING($B24*$D24/3,1)&gt;=Q$2,CEILING($F$1*IF($Y$21*$AD$21&gt;=$I$1,1,IF($Y$21*$AD$21&gt;=$H$1,0.5,0))*(1+IF($N$21=$D$1,IF($Y$21*$AD$21&gt;=$K$1,0,IF($Y$21*$AD$21&gt;=$J$1,0,0)),0))*$B24*$D24*$E24^(Q$2-1),1),0)</f>
        <v>0</v>
      </c>
      <c r="R24" s="47">
        <f>IF(CEILING($B24*$D24/3,1)&gt;=R$2,CEILING($F$1*IF($Y$21*$AD$21&gt;=$I$1,1,IF($Y$21*$AD$21&gt;=$H$1,0.5,0))*(1+IF($N$21=$D$1,IF($Y$21*$AD$21&gt;=$K$1,0,IF($Y$21*$AD$21&gt;=$J$1,0,0)),0))*$B24*$D24*$E24^(R$2-1),1),0)</f>
        <v>0</v>
      </c>
      <c r="S24" s="47">
        <f>IF(CEILING($B24*$D24/3,1)&gt;=S$2,CEILING($F$1*IF($Y$21*$AD$21&gt;=$I$1,1,IF($Y$21*$AD$21&gt;=$H$1,0.5,0))*(1+IF($N$21=$D$1,IF($Y$21*$AD$21&gt;=$K$1,0,IF($Y$21*$AD$21&gt;=$J$1,0,0)),0))*$B24*$D24*$E24^(S$2-1),1),0)</f>
        <v>0</v>
      </c>
      <c r="T24" s="47">
        <f>IF(CEILING($B24*$D24/3,1)&gt;=T$2,CEILING($F$1*IF($Y$21*$AD$21&gt;=$I$1,1,IF($Y$21*$AD$21&gt;=$H$1,0.5,0))*(1+IF($N$21=$D$1,IF($Y$21*$AD$21&gt;=$K$1,0,IF($Y$21*$AD$21&gt;=$J$1,0,0)),0))*$B24*$D24*$E24^(T$2-1),1),0)</f>
        <v>0</v>
      </c>
      <c r="U24" s="47">
        <f>IF(CEILING($B24*$D24/3,1)&gt;=U$2,CEILING($F$1*IF($Y$21*$AD$21&gt;=$I$1,1,IF($Y$21*$AD$21&gt;=$H$1,0.5,0))*(1+IF($N$21=$D$1,IF($Y$21*$AD$21&gt;=$K$1,0,IF($Y$21*$AD$21&gt;=$J$1,0,0)),0))*$B24*$D24*$E24^(U$2-1),1),0)</f>
        <v>0</v>
      </c>
      <c r="V24" s="47">
        <f>IF(CEILING($B24*$D24/3,1)&gt;=V$2,CEILING($F$1*IF($Y$21*$AD$21&gt;=$I$1,1,IF($Y$21*$AD$21&gt;=$H$1,0.5,0))*(1+IF($N$21=$D$1,IF($Y$21*$AD$21&gt;=$K$1,0,IF($Y$21*$AD$21&gt;=$J$1,0,0)),0))*$B24*$D24*$E24^(V$2-1),1),0)</f>
        <v>0</v>
      </c>
      <c r="W24" s="47">
        <f>IF(CEILING($B24*$D24/3,1)&gt;=W$2,CEILING($F$1*IF($Y$21*$AD$21&gt;=$I$1,1,IF($Y$21*$AD$21&gt;=$H$1,0.5,0))*(1+IF($N$21=$D$1,IF($Y$21*$AD$21&gt;=$K$1,0,IF($Y$21*$AD$21&gt;=$J$1,0,0)),0))*$B24*$D24*$E24^(W$2-1),1),0)</f>
        <v>0</v>
      </c>
      <c r="X24" s="47">
        <f>IF(CEILING($B24*$D24/3,1)&gt;=X$2,CEILING($F$1*IF($Y$21*$AD$21&gt;=$I$1,1,IF($Y$21*$AD$21&gt;=$H$1,0.5,0))*(1+IF($N$21=$D$1,IF($Y$21*$AD$21&gt;=$K$1,0,IF($Y$21*$AD$21&gt;=$J$1,0,0)),0))*$B24*$D24*$E24^(X$2-1),1),0)</f>
        <v>0</v>
      </c>
      <c r="Y24" s="47">
        <f>IF(CEILING($B24*$D24/3,1)&gt;=Y$2,CEILING($F$1*IF($Y$21*$AD$21&gt;=$I$1,1,IF($Y$21*$AD$21&gt;=$H$1,0.5,0))*(1+IF($N$21=$D$1,IF($Y$21*$AD$21&gt;=$K$1,0,IF($Y$21*$AD$21&gt;=$J$1,0,0)),0))*$B24*$D24*$E24^(Y$2-1),1),0)</f>
        <v>0</v>
      </c>
      <c r="Z24" s="47">
        <f>IF(CEILING($B24*$D24/3,1)&gt;=Z$2,CEILING($F$1*IF($Y$21*$AD$21&gt;=$I$1,1,IF($Y$21*$AD$21&gt;=$H$1,0.5,0))*(1+IF($N$21=$D$1,IF($Y$21*$AD$21&gt;=$K$1,0,IF($Y$21*$AD$21&gt;=$J$1,0,0)),0))*$B24*$D24*$E24^(Z$2-1),1),0)</f>
        <v>0</v>
      </c>
      <c r="AA24" s="47">
        <f>IF(CEILING($B24*$D24/3,1)&gt;=AA$2,CEILING($F$1*IF($Y$21*$AD$21&gt;=$I$1,1,IF($Y$21*$AD$21&gt;=$H$1,0.5,0))*(1+IF($N$21=$D$1,IF($Y$21*$AD$21&gt;=$K$1,0,IF($Y$21*$AD$21&gt;=$J$1,0,0)),0))*$B24*$D24*$E24^(AA$2-1),1),0)</f>
        <v>0</v>
      </c>
      <c r="AB24" s="47">
        <f>IF(CEILING($B24*$D24/3,1)&gt;=AB$2,CEILING($F$1*IF($Y$21*$AD$21&gt;=$I$1,1,IF($Y$21*$AD$21&gt;=$H$1,0.5,0))*(1+IF($N$21=$D$1,IF($Y$21*$AD$21&gt;=$K$1,0,IF($Y$21*$AD$21&gt;=$J$1,0,0)),0))*$B24*$D24*$E24^(AB$2-1),1),0)</f>
        <v>0</v>
      </c>
      <c r="AC24" s="47">
        <f>IF(CEILING($B24*$D24/3,1)&gt;=AC$2,CEILING($F$1*IF($Y$21*$AD$21&gt;=$I$1,1,IF($Y$21*$AD$21&gt;=$H$1,0.5,0))*(1+IF($N$21=$D$1,IF($Y$21*$AD$21&gt;=$K$1,0,IF($Y$21*$AD$21&gt;=$J$1,0,0)),0))*$B24*$D24*$E24^(AC$2-1),1),0)</f>
        <v>0</v>
      </c>
      <c r="AD24" s="47">
        <f>IF(CEILING($B24*$D24/3,1)&gt;=AD$2,CEILING($F$1*IF($Y$21*$AD$21&gt;=$I$1,1,IF($Y$21*$AD$21&gt;=$H$1,0.5,0))*(1+IF($N$21=$D$1,IF($Y$21*$AD$21&gt;=$K$1,0,IF($Y$21*$AD$21&gt;=$J$1,0,0)),0))*$B24*$D24*$E24^(AD$2-1),1),0)</f>
        <v>0</v>
      </c>
      <c r="AE24" s="47">
        <f>IF(CEILING($B24*$D24/3,1)&gt;=AE$2,CEILING($F$1*IF($Y$21*$AD$21&gt;=$I$1,1,IF($Y$21*$AD$21&gt;=$H$1,0.5,0))*(1+IF($N$21=$D$1,IF($Y$21*$AD$21&gt;=$K$1,0,IF($Y$21*$AD$21&gt;=$J$1,0,0)),0))*$B24*$D24*$E24^(AE$2-1),1),0)</f>
        <v>0</v>
      </c>
      <c r="AF24" s="47">
        <f>IF(CEILING($B24*$D24/3,1)&gt;=AF$2,CEILING($F$1*IF($Y$21*$AD$21&gt;=$I$1,1,IF($Y$21*$AD$21&gt;=$H$1,0.5,0))*(1+IF($N$21=$D$1,IF($Y$21*$AD$21&gt;=$K$1,0,IF($Y$21*$AD$21&gt;=$J$1,0,0)),0))*$B24*$D24*$E24^(AF$2-1),1),0)</f>
        <v>0</v>
      </c>
      <c r="AG24" s="47">
        <f>IF(CEILING($B24*$D24/3,1)&gt;=AG$2,CEILING($F$1*IF($Y$21*$AD$21&gt;=$I$1,1,IF($Y$21*$AD$21&gt;=$H$1,0.5,0))*(1+IF($N$21=$D$1,IF($Y$21*$AD$21&gt;=$K$1,0,IF($Y$21*$AD$21&gt;=$J$1,0,0)),0))*$B24*$D24*$E24^(AG$2-1),1),0)</f>
        <v>0</v>
      </c>
      <c r="AH24" s="47">
        <f>IF(CEILING($B24*$D24/3,1)&gt;=AH$2,CEILING($F$1*IF($Y$21*$AD$21&gt;=$I$1,1,IF($Y$21*$AD$21&gt;=$H$1,0.5,0))*(1+IF($N$21=$D$1,IF($Y$21*$AD$21&gt;=$K$1,0,IF($Y$21*$AD$21&gt;=$J$1,0,0)),0))*$B24*$D24*$E24^(AH$2-1),1),0)</f>
        <v>0</v>
      </c>
      <c r="AI24" s="48">
        <f>IF(CEILING($B24*$D24/3,1)&gt;=AI$2,CEILING($F$1*IF($Y$21*$AD$21&gt;=$I$1,1,IF($Y$21*$AD$21&gt;=$H$1,0.5,0))*(1+IF($N$21=$D$1,IF($Y$21*$AD$21&gt;=$K$1,0,IF($Y$21*$AD$21&gt;=$J$1,0,0)),0))*$B24*$D24*$E24^(AI$2-1),1),0)</f>
        <v>0</v>
      </c>
    </row>
    <row r="25" spans="1:35" x14ac:dyDescent="0.25">
      <c r="A25" s="58">
        <v>4</v>
      </c>
      <c r="B25" s="60">
        <v>0.9</v>
      </c>
      <c r="C25" s="16">
        <v>0</v>
      </c>
      <c r="D25" s="67">
        <f>CEILING(1+MIN(T$21-C25-1,$L$1)+(T$21-C25-1-MIN(T$21-C25-1,$L$1))/$M$1,1)</f>
        <v>10</v>
      </c>
      <c r="E25" s="63">
        <f>MAX(($G$1/($F$1*D25))^(1/(ROUNDUP(D25/3,)-1)),2/3)</f>
        <v>0.66666666666666663</v>
      </c>
      <c r="F25" s="47">
        <f>IF(CEILING($B25*$D25/3,1)&gt;=F$2,CEILING($F$1*IF($Y$21*$AD$21&gt;=$I$1,1,IF($Y$21*$AD$21&gt;=$H$1,0.5,0))*(1+IF($N$21=$D$1,IF($Y$21*$AD$21&gt;=$K$1,0,IF($Y$21*$AD$21&gt;=$J$1,0,0)),0))*$B25*$D25*$E25^(F$2-1),1),0)</f>
        <v>27</v>
      </c>
      <c r="G25" s="47">
        <f>IF(CEILING($B25*$D25/3,1)&gt;=G$2,CEILING($F$1*IF($Y$21*$AD$21&gt;=$I$1,1,IF($Y$21*$AD$21&gt;=$H$1,0.5,0))*(1+IF($N$21=$D$1,IF($Y$21*$AD$21&gt;=$K$1,0,IF($Y$21*$AD$21&gt;=$J$1,0,0)),0))*$B25*$D25*$E25^(G$2-1),1),0)</f>
        <v>18</v>
      </c>
      <c r="H25" s="47">
        <f>IF(CEILING($B25*$D25/3,1)&gt;=H$2,CEILING($F$1*IF($Y$21*$AD$21&gt;=$I$1,1,IF($Y$21*$AD$21&gt;=$H$1,0.5,0))*(1+IF($N$21=$D$1,IF($Y$21*$AD$21&gt;=$K$1,0,IF($Y$21*$AD$21&gt;=$J$1,0,0)),0))*$B25*$D25*$E25^(H$2-1),1),0)</f>
        <v>12</v>
      </c>
      <c r="I25" s="47">
        <f>IF(CEILING($B25*$D25/3,1)&gt;=I$2,CEILING($F$1*IF($Y$21*$AD$21&gt;=$I$1,1,IF($Y$21*$AD$21&gt;=$H$1,0.5,0))*(1+IF($N$21=$D$1,IF($Y$21*$AD$21&gt;=$K$1,0,IF($Y$21*$AD$21&gt;=$J$1,0,0)),0))*$B25*$D25*$E25^(I$2-1),1),0)</f>
        <v>0</v>
      </c>
      <c r="J25" s="47">
        <f>IF(CEILING($B25*$D25/3,1)&gt;=J$2,CEILING($F$1*IF($Y$21*$AD$21&gt;=$I$1,1,IF($Y$21*$AD$21&gt;=$H$1,0.5,0))*(1+IF($N$21=$D$1,IF($Y$21*$AD$21&gt;=$K$1,0,IF($Y$21*$AD$21&gt;=$J$1,0,0)),0))*$B25*$D25*$E25^(J$2-1),1),0)</f>
        <v>0</v>
      </c>
      <c r="K25" s="47">
        <f>IF(CEILING($B25*$D25/3,1)&gt;=K$2,CEILING($F$1*IF($Y$21*$AD$21&gt;=$I$1,1,IF($Y$21*$AD$21&gt;=$H$1,0.5,0))*(1+IF($N$21=$D$1,IF($Y$21*$AD$21&gt;=$K$1,0,IF($Y$21*$AD$21&gt;=$J$1,0,0)),0))*$B25*$D25*$E25^(K$2-1),1),0)</f>
        <v>0</v>
      </c>
      <c r="L25" s="47">
        <f>IF(CEILING($B25*$D25/3,1)&gt;=L$2,CEILING($F$1*IF($Y$21*$AD$21&gt;=$I$1,1,IF($Y$21*$AD$21&gt;=$H$1,0.5,0))*(1+IF($N$21=$D$1,IF($Y$21*$AD$21&gt;=$K$1,0,IF($Y$21*$AD$21&gt;=$J$1,0,0)),0))*$B25*$D25*$E25^(L$2-1),1),0)</f>
        <v>0</v>
      </c>
      <c r="M25" s="47">
        <f>IF(CEILING($B25*$D25/3,1)&gt;=M$2,CEILING($F$1*IF($Y$21*$AD$21&gt;=$I$1,1,IF($Y$21*$AD$21&gt;=$H$1,0.5,0))*(1+IF($N$21=$D$1,IF($Y$21*$AD$21&gt;=$K$1,0,IF($Y$21*$AD$21&gt;=$J$1,0,0)),0))*$B25*$D25*$E25^(M$2-1),1),0)</f>
        <v>0</v>
      </c>
      <c r="N25" s="47">
        <f>IF(CEILING($B25*$D25/3,1)&gt;=N$2,CEILING($F$1*IF($Y$21*$AD$21&gt;=$I$1,1,IF($Y$21*$AD$21&gt;=$H$1,0.5,0))*(1+IF($N$21=$D$1,IF($Y$21*$AD$21&gt;=$K$1,0,IF($Y$21*$AD$21&gt;=$J$1,0,0)),0))*$B25*$D25*$E25^(N$2-1),1),0)</f>
        <v>0</v>
      </c>
      <c r="O25" s="47">
        <f>IF(CEILING($B25*$D25/3,1)&gt;=O$2,CEILING($F$1*IF($Y$21*$AD$21&gt;=$I$1,1,IF($Y$21*$AD$21&gt;=$H$1,0.5,0))*(1+IF($N$21=$D$1,IF($Y$21*$AD$21&gt;=$K$1,0,IF($Y$21*$AD$21&gt;=$J$1,0,0)),0))*$B25*$D25*$E25^(O$2-1),1),0)</f>
        <v>0</v>
      </c>
      <c r="P25" s="47">
        <f>IF(CEILING($B25*$D25/3,1)&gt;=P$2,CEILING($F$1*IF($Y$21*$AD$21&gt;=$I$1,1,IF($Y$21*$AD$21&gt;=$H$1,0.5,0))*(1+IF($N$21=$D$1,IF($Y$21*$AD$21&gt;=$K$1,0,IF($Y$21*$AD$21&gt;=$J$1,0,0)),0))*$B25*$D25*$E25^(P$2-1),1),0)</f>
        <v>0</v>
      </c>
      <c r="Q25" s="47">
        <f>IF(CEILING($B25*$D25/3,1)&gt;=Q$2,CEILING($F$1*IF($Y$21*$AD$21&gt;=$I$1,1,IF($Y$21*$AD$21&gt;=$H$1,0.5,0))*(1+IF($N$21=$D$1,IF($Y$21*$AD$21&gt;=$K$1,0,IF($Y$21*$AD$21&gt;=$J$1,0,0)),0))*$B25*$D25*$E25^(Q$2-1),1),0)</f>
        <v>0</v>
      </c>
      <c r="R25" s="47">
        <f>IF(CEILING($B25*$D25/3,1)&gt;=R$2,CEILING($F$1*IF($Y$21*$AD$21&gt;=$I$1,1,IF($Y$21*$AD$21&gt;=$H$1,0.5,0))*(1+IF($N$21=$D$1,IF($Y$21*$AD$21&gt;=$K$1,0,IF($Y$21*$AD$21&gt;=$J$1,0,0)),0))*$B25*$D25*$E25^(R$2-1),1),0)</f>
        <v>0</v>
      </c>
      <c r="S25" s="47">
        <f>IF(CEILING($B25*$D25/3,1)&gt;=S$2,CEILING($F$1*IF($Y$21*$AD$21&gt;=$I$1,1,IF($Y$21*$AD$21&gt;=$H$1,0.5,0))*(1+IF($N$21=$D$1,IF($Y$21*$AD$21&gt;=$K$1,0,IF($Y$21*$AD$21&gt;=$J$1,0,0)),0))*$B25*$D25*$E25^(S$2-1),1),0)</f>
        <v>0</v>
      </c>
      <c r="T25" s="47">
        <f>IF(CEILING($B25*$D25/3,1)&gt;=T$2,CEILING($F$1*IF($Y$21*$AD$21&gt;=$I$1,1,IF($Y$21*$AD$21&gt;=$H$1,0.5,0))*(1+IF($N$21=$D$1,IF($Y$21*$AD$21&gt;=$K$1,0,IF($Y$21*$AD$21&gt;=$J$1,0,0)),0))*$B25*$D25*$E25^(T$2-1),1),0)</f>
        <v>0</v>
      </c>
      <c r="U25" s="47">
        <f>IF(CEILING($B25*$D25/3,1)&gt;=U$2,CEILING($F$1*IF($Y$21*$AD$21&gt;=$I$1,1,IF($Y$21*$AD$21&gt;=$H$1,0.5,0))*(1+IF($N$21=$D$1,IF($Y$21*$AD$21&gt;=$K$1,0,IF($Y$21*$AD$21&gt;=$J$1,0,0)),0))*$B25*$D25*$E25^(U$2-1),1),0)</f>
        <v>0</v>
      </c>
      <c r="V25" s="47">
        <f>IF(CEILING($B25*$D25/3,1)&gt;=V$2,CEILING($F$1*IF($Y$21*$AD$21&gt;=$I$1,1,IF($Y$21*$AD$21&gt;=$H$1,0.5,0))*(1+IF($N$21=$D$1,IF($Y$21*$AD$21&gt;=$K$1,0,IF($Y$21*$AD$21&gt;=$J$1,0,0)),0))*$B25*$D25*$E25^(V$2-1),1),0)</f>
        <v>0</v>
      </c>
      <c r="W25" s="47">
        <f>IF(CEILING($B25*$D25/3,1)&gt;=W$2,CEILING($F$1*IF($Y$21*$AD$21&gt;=$I$1,1,IF($Y$21*$AD$21&gt;=$H$1,0.5,0))*(1+IF($N$21=$D$1,IF($Y$21*$AD$21&gt;=$K$1,0,IF($Y$21*$AD$21&gt;=$J$1,0,0)),0))*$B25*$D25*$E25^(W$2-1),1),0)</f>
        <v>0</v>
      </c>
      <c r="X25" s="47">
        <f>IF(CEILING($B25*$D25/3,1)&gt;=X$2,CEILING($F$1*IF($Y$21*$AD$21&gt;=$I$1,1,IF($Y$21*$AD$21&gt;=$H$1,0.5,0))*(1+IF($N$21=$D$1,IF($Y$21*$AD$21&gt;=$K$1,0,IF($Y$21*$AD$21&gt;=$J$1,0,0)),0))*$B25*$D25*$E25^(X$2-1),1),0)</f>
        <v>0</v>
      </c>
      <c r="Y25" s="47">
        <f>IF(CEILING($B25*$D25/3,1)&gt;=Y$2,CEILING($F$1*IF($Y$21*$AD$21&gt;=$I$1,1,IF($Y$21*$AD$21&gt;=$H$1,0.5,0))*(1+IF($N$21=$D$1,IF($Y$21*$AD$21&gt;=$K$1,0,IF($Y$21*$AD$21&gt;=$J$1,0,0)),0))*$B25*$D25*$E25^(Y$2-1),1),0)</f>
        <v>0</v>
      </c>
      <c r="Z25" s="47">
        <f>IF(CEILING($B25*$D25/3,1)&gt;=Z$2,CEILING($F$1*IF($Y$21*$AD$21&gt;=$I$1,1,IF($Y$21*$AD$21&gt;=$H$1,0.5,0))*(1+IF($N$21=$D$1,IF($Y$21*$AD$21&gt;=$K$1,0,IF($Y$21*$AD$21&gt;=$J$1,0,0)),0))*$B25*$D25*$E25^(Z$2-1),1),0)</f>
        <v>0</v>
      </c>
      <c r="AA25" s="47">
        <f>IF(CEILING($B25*$D25/3,1)&gt;=AA$2,CEILING($F$1*IF($Y$21*$AD$21&gt;=$I$1,1,IF($Y$21*$AD$21&gt;=$H$1,0.5,0))*(1+IF($N$21=$D$1,IF($Y$21*$AD$21&gt;=$K$1,0,IF($Y$21*$AD$21&gt;=$J$1,0,0)),0))*$B25*$D25*$E25^(AA$2-1),1),0)</f>
        <v>0</v>
      </c>
      <c r="AB25" s="47">
        <f>IF(CEILING($B25*$D25/3,1)&gt;=AB$2,CEILING($F$1*IF($Y$21*$AD$21&gt;=$I$1,1,IF($Y$21*$AD$21&gt;=$H$1,0.5,0))*(1+IF($N$21=$D$1,IF($Y$21*$AD$21&gt;=$K$1,0,IF($Y$21*$AD$21&gt;=$J$1,0,0)),0))*$B25*$D25*$E25^(AB$2-1),1),0)</f>
        <v>0</v>
      </c>
      <c r="AC25" s="47">
        <f>IF(CEILING($B25*$D25/3,1)&gt;=AC$2,CEILING($F$1*IF($Y$21*$AD$21&gt;=$I$1,1,IF($Y$21*$AD$21&gt;=$H$1,0.5,0))*(1+IF($N$21=$D$1,IF($Y$21*$AD$21&gt;=$K$1,0,IF($Y$21*$AD$21&gt;=$J$1,0,0)),0))*$B25*$D25*$E25^(AC$2-1),1),0)</f>
        <v>0</v>
      </c>
      <c r="AD25" s="47">
        <f>IF(CEILING($B25*$D25/3,1)&gt;=AD$2,CEILING($F$1*IF($Y$21*$AD$21&gt;=$I$1,1,IF($Y$21*$AD$21&gt;=$H$1,0.5,0))*(1+IF($N$21=$D$1,IF($Y$21*$AD$21&gt;=$K$1,0,IF($Y$21*$AD$21&gt;=$J$1,0,0)),0))*$B25*$D25*$E25^(AD$2-1),1),0)</f>
        <v>0</v>
      </c>
      <c r="AE25" s="47">
        <f>IF(CEILING($B25*$D25/3,1)&gt;=AE$2,CEILING($F$1*IF($Y$21*$AD$21&gt;=$I$1,1,IF($Y$21*$AD$21&gt;=$H$1,0.5,0))*(1+IF($N$21=$D$1,IF($Y$21*$AD$21&gt;=$K$1,0,IF($Y$21*$AD$21&gt;=$J$1,0,0)),0))*$B25*$D25*$E25^(AE$2-1),1),0)</f>
        <v>0</v>
      </c>
      <c r="AF25" s="47">
        <f>IF(CEILING($B25*$D25/3,1)&gt;=AF$2,CEILING($F$1*IF($Y$21*$AD$21&gt;=$I$1,1,IF($Y$21*$AD$21&gt;=$H$1,0.5,0))*(1+IF($N$21=$D$1,IF($Y$21*$AD$21&gt;=$K$1,0,IF($Y$21*$AD$21&gt;=$J$1,0,0)),0))*$B25*$D25*$E25^(AF$2-1),1),0)</f>
        <v>0</v>
      </c>
      <c r="AG25" s="47">
        <f>IF(CEILING($B25*$D25/3,1)&gt;=AG$2,CEILING($F$1*IF($Y$21*$AD$21&gt;=$I$1,1,IF($Y$21*$AD$21&gt;=$H$1,0.5,0))*(1+IF($N$21=$D$1,IF($Y$21*$AD$21&gt;=$K$1,0,IF($Y$21*$AD$21&gt;=$J$1,0,0)),0))*$B25*$D25*$E25^(AG$2-1),1),0)</f>
        <v>0</v>
      </c>
      <c r="AH25" s="47">
        <f>IF(CEILING($B25*$D25/3,1)&gt;=AH$2,CEILING($F$1*IF($Y$21*$AD$21&gt;=$I$1,1,IF($Y$21*$AD$21&gt;=$H$1,0.5,0))*(1+IF($N$21=$D$1,IF($Y$21*$AD$21&gt;=$K$1,0,IF($Y$21*$AD$21&gt;=$J$1,0,0)),0))*$B25*$D25*$E25^(AH$2-1),1),0)</f>
        <v>0</v>
      </c>
      <c r="AI25" s="48">
        <f>IF(CEILING($B25*$D25/3,1)&gt;=AI$2,CEILING($F$1*IF($Y$21*$AD$21&gt;=$I$1,1,IF($Y$21*$AD$21&gt;=$H$1,0.5,0))*(1+IF($N$21=$D$1,IF($Y$21*$AD$21&gt;=$K$1,0,IF($Y$21*$AD$21&gt;=$J$1,0,0)),0))*$B25*$D25*$E25^(AI$2-1),1),0)</f>
        <v>0</v>
      </c>
    </row>
    <row r="26" spans="1:35" x14ac:dyDescent="0.25">
      <c r="A26" s="59">
        <v>5</v>
      </c>
      <c r="B26" s="61">
        <v>0.8</v>
      </c>
      <c r="C26" s="17">
        <v>0</v>
      </c>
      <c r="D26" s="69">
        <f>CEILING(1+MIN(T$21-C26-1,$L$1)+(T$21-C26-1-MIN(T$21-C26-1,$L$1))/$M$1,1)</f>
        <v>10</v>
      </c>
      <c r="E26" s="65">
        <f>MAX(($G$1/($F$1*D26))^(1/(ROUNDUP(D26/3,)-1)),2/3)</f>
        <v>0.66666666666666663</v>
      </c>
      <c r="F26" s="47">
        <f>IF(CEILING($B26*$D26/3,1)&gt;=F$2,CEILING($F$1*IF($Y$21*$AD$21&gt;=$I$1,1,IF($Y$21*$AD$21&gt;=$H$1,0.5,0))*(1+IF($N$21=$D$1,IF($Y$21*$AD$21&gt;=$K$1,0,IF($Y$21*$AD$21&gt;=$J$1,0,0)),0))*$B26*$D26*$E26^(F$2-1),1),0)</f>
        <v>24</v>
      </c>
      <c r="G26" s="47">
        <f>IF(CEILING($B26*$D26/3,1)&gt;=G$2,CEILING($F$1*IF($Y$21*$AD$21&gt;=$I$1,1,IF($Y$21*$AD$21&gt;=$H$1,0.5,0))*(1+IF($N$21=$D$1,IF($Y$21*$AD$21&gt;=$K$1,0,IF($Y$21*$AD$21&gt;=$J$1,0,0)),0))*$B26*$D26*$E26^(G$2-1),1),0)</f>
        <v>16</v>
      </c>
      <c r="H26" s="47">
        <f>IF(CEILING($B26*$D26/3,1)&gt;=H$2,CEILING($F$1*IF($Y$21*$AD$21&gt;=$I$1,1,IF($Y$21*$AD$21&gt;=$H$1,0.5,0))*(1+IF($N$21=$D$1,IF($Y$21*$AD$21&gt;=$K$1,0,IF($Y$21*$AD$21&gt;=$J$1,0,0)),0))*$B26*$D26*$E26^(H$2-1),1),0)</f>
        <v>11</v>
      </c>
      <c r="I26" s="47">
        <f>IF(CEILING($B26*$D26/3,1)&gt;=I$2,CEILING($F$1*IF($Y$21*$AD$21&gt;=$I$1,1,IF($Y$21*$AD$21&gt;=$H$1,0.5,0))*(1+IF($N$21=$D$1,IF($Y$21*$AD$21&gt;=$K$1,0,IF($Y$21*$AD$21&gt;=$J$1,0,0)),0))*$B26*$D26*$E26^(I$2-1),1),0)</f>
        <v>0</v>
      </c>
      <c r="J26" s="47">
        <f>IF(CEILING($B26*$D26/3,1)&gt;=J$2,CEILING($F$1*IF($Y$21*$AD$21&gt;=$I$1,1,IF($Y$21*$AD$21&gt;=$H$1,0.5,0))*(1+IF($N$21=$D$1,IF($Y$21*$AD$21&gt;=$K$1,0,IF($Y$21*$AD$21&gt;=$J$1,0,0)),0))*$B26*$D26*$E26^(J$2-1),1),0)</f>
        <v>0</v>
      </c>
      <c r="K26" s="47">
        <f>IF(CEILING($B26*$D26/3,1)&gt;=K$2,CEILING($F$1*IF($Y$21*$AD$21&gt;=$I$1,1,IF($Y$21*$AD$21&gt;=$H$1,0.5,0))*(1+IF($N$21=$D$1,IF($Y$21*$AD$21&gt;=$K$1,0,IF($Y$21*$AD$21&gt;=$J$1,0,0)),0))*$B26*$D26*$E26^(K$2-1),1),0)</f>
        <v>0</v>
      </c>
      <c r="L26" s="47">
        <f>IF(CEILING($B26*$D26/3,1)&gt;=L$2,CEILING($F$1*IF($Y$21*$AD$21&gt;=$I$1,1,IF($Y$21*$AD$21&gt;=$H$1,0.5,0))*(1+IF($N$21=$D$1,IF($Y$21*$AD$21&gt;=$K$1,0,IF($Y$21*$AD$21&gt;=$J$1,0,0)),0))*$B26*$D26*$E26^(L$2-1),1),0)</f>
        <v>0</v>
      </c>
      <c r="M26" s="47">
        <f>IF(CEILING($B26*$D26/3,1)&gt;=M$2,CEILING($F$1*IF($Y$21*$AD$21&gt;=$I$1,1,IF($Y$21*$AD$21&gt;=$H$1,0.5,0))*(1+IF($N$21=$D$1,IF($Y$21*$AD$21&gt;=$K$1,0,IF($Y$21*$AD$21&gt;=$J$1,0,0)),0))*$B26*$D26*$E26^(M$2-1),1),0)</f>
        <v>0</v>
      </c>
      <c r="N26" s="47">
        <f>IF(CEILING($B26*$D26/3,1)&gt;=N$2,CEILING($F$1*IF($Y$21*$AD$21&gt;=$I$1,1,IF($Y$21*$AD$21&gt;=$H$1,0.5,0))*(1+IF($N$21=$D$1,IF($Y$21*$AD$21&gt;=$K$1,0,IF($Y$21*$AD$21&gt;=$J$1,0,0)),0))*$B26*$D26*$E26^(N$2-1),1),0)</f>
        <v>0</v>
      </c>
      <c r="O26" s="47">
        <f>IF(CEILING($B26*$D26/3,1)&gt;=O$2,CEILING($F$1*IF($Y$21*$AD$21&gt;=$I$1,1,IF($Y$21*$AD$21&gt;=$H$1,0.5,0))*(1+IF($N$21=$D$1,IF($Y$21*$AD$21&gt;=$K$1,0,IF($Y$21*$AD$21&gt;=$J$1,0,0)),0))*$B26*$D26*$E26^(O$2-1),1),0)</f>
        <v>0</v>
      </c>
      <c r="P26" s="47">
        <f>IF(CEILING($B26*$D26/3,1)&gt;=P$2,CEILING($F$1*IF($Y$21*$AD$21&gt;=$I$1,1,IF($Y$21*$AD$21&gt;=$H$1,0.5,0))*(1+IF($N$21=$D$1,IF($Y$21*$AD$21&gt;=$K$1,0,IF($Y$21*$AD$21&gt;=$J$1,0,0)),0))*$B26*$D26*$E26^(P$2-1),1),0)</f>
        <v>0</v>
      </c>
      <c r="Q26" s="47">
        <f>IF(CEILING($B26*$D26/3,1)&gt;=Q$2,CEILING($F$1*IF($Y$21*$AD$21&gt;=$I$1,1,IF($Y$21*$AD$21&gt;=$H$1,0.5,0))*(1+IF($N$21=$D$1,IF($Y$21*$AD$21&gt;=$K$1,0,IF($Y$21*$AD$21&gt;=$J$1,0,0)),0))*$B26*$D26*$E26^(Q$2-1),1),0)</f>
        <v>0</v>
      </c>
      <c r="R26" s="47">
        <f>IF(CEILING($B26*$D26/3,1)&gt;=R$2,CEILING($F$1*IF($Y$21*$AD$21&gt;=$I$1,1,IF($Y$21*$AD$21&gt;=$H$1,0.5,0))*(1+IF($N$21=$D$1,IF($Y$21*$AD$21&gt;=$K$1,0,IF($Y$21*$AD$21&gt;=$J$1,0,0)),0))*$B26*$D26*$E26^(R$2-1),1),0)</f>
        <v>0</v>
      </c>
      <c r="S26" s="47">
        <f>IF(CEILING($B26*$D26/3,1)&gt;=S$2,CEILING($F$1*IF($Y$21*$AD$21&gt;=$I$1,1,IF($Y$21*$AD$21&gt;=$H$1,0.5,0))*(1+IF($N$21=$D$1,IF($Y$21*$AD$21&gt;=$K$1,0,IF($Y$21*$AD$21&gt;=$J$1,0,0)),0))*$B26*$D26*$E26^(S$2-1),1),0)</f>
        <v>0</v>
      </c>
      <c r="T26" s="47">
        <f>IF(CEILING($B26*$D26/3,1)&gt;=T$2,CEILING($F$1*IF($Y$21*$AD$21&gt;=$I$1,1,IF($Y$21*$AD$21&gt;=$H$1,0.5,0))*(1+IF($N$21=$D$1,IF($Y$21*$AD$21&gt;=$K$1,0,IF($Y$21*$AD$21&gt;=$J$1,0,0)),0))*$B26*$D26*$E26^(T$2-1),1),0)</f>
        <v>0</v>
      </c>
      <c r="U26" s="47">
        <f>IF(CEILING($B26*$D26/3,1)&gt;=U$2,CEILING($F$1*IF($Y$21*$AD$21&gt;=$I$1,1,IF($Y$21*$AD$21&gt;=$H$1,0.5,0))*(1+IF($N$21=$D$1,IF($Y$21*$AD$21&gt;=$K$1,0,IF($Y$21*$AD$21&gt;=$J$1,0,0)),0))*$B26*$D26*$E26^(U$2-1),1),0)</f>
        <v>0</v>
      </c>
      <c r="V26" s="47">
        <f>IF(CEILING($B26*$D26/3,1)&gt;=V$2,CEILING($F$1*IF($Y$21*$AD$21&gt;=$I$1,1,IF($Y$21*$AD$21&gt;=$H$1,0.5,0))*(1+IF($N$21=$D$1,IF($Y$21*$AD$21&gt;=$K$1,0,IF($Y$21*$AD$21&gt;=$J$1,0,0)),0))*$B26*$D26*$E26^(V$2-1),1),0)</f>
        <v>0</v>
      </c>
      <c r="W26" s="47">
        <f>IF(CEILING($B26*$D26/3,1)&gt;=W$2,CEILING($F$1*IF($Y$21*$AD$21&gt;=$I$1,1,IF($Y$21*$AD$21&gt;=$H$1,0.5,0))*(1+IF($N$21=$D$1,IF($Y$21*$AD$21&gt;=$K$1,0,IF($Y$21*$AD$21&gt;=$J$1,0,0)),0))*$B26*$D26*$E26^(W$2-1),1),0)</f>
        <v>0</v>
      </c>
      <c r="X26" s="47">
        <f>IF(CEILING($B26*$D26/3,1)&gt;=X$2,CEILING($F$1*IF($Y$21*$AD$21&gt;=$I$1,1,IF($Y$21*$AD$21&gt;=$H$1,0.5,0))*(1+IF($N$21=$D$1,IF($Y$21*$AD$21&gt;=$K$1,0,IF($Y$21*$AD$21&gt;=$J$1,0,0)),0))*$B26*$D26*$E26^(X$2-1),1),0)</f>
        <v>0</v>
      </c>
      <c r="Y26" s="47">
        <f>IF(CEILING($B26*$D26/3,1)&gt;=Y$2,CEILING($F$1*IF($Y$21*$AD$21&gt;=$I$1,1,IF($Y$21*$AD$21&gt;=$H$1,0.5,0))*(1+IF($N$21=$D$1,IF($Y$21*$AD$21&gt;=$K$1,0,IF($Y$21*$AD$21&gt;=$J$1,0,0)),0))*$B26*$D26*$E26^(Y$2-1),1),0)</f>
        <v>0</v>
      </c>
      <c r="Z26" s="47">
        <f>IF(CEILING($B26*$D26/3,1)&gt;=Z$2,CEILING($F$1*IF($Y$21*$AD$21&gt;=$I$1,1,IF($Y$21*$AD$21&gt;=$H$1,0.5,0))*(1+IF($N$21=$D$1,IF($Y$21*$AD$21&gt;=$K$1,0,IF($Y$21*$AD$21&gt;=$J$1,0,0)),0))*$B26*$D26*$E26^(Z$2-1),1),0)</f>
        <v>0</v>
      </c>
      <c r="AA26" s="47">
        <f>IF(CEILING($B26*$D26/3,1)&gt;=AA$2,CEILING($F$1*IF($Y$21*$AD$21&gt;=$I$1,1,IF($Y$21*$AD$21&gt;=$H$1,0.5,0))*(1+IF($N$21=$D$1,IF($Y$21*$AD$21&gt;=$K$1,0,IF($Y$21*$AD$21&gt;=$J$1,0,0)),0))*$B26*$D26*$E26^(AA$2-1),1),0)</f>
        <v>0</v>
      </c>
      <c r="AB26" s="47">
        <f>IF(CEILING($B26*$D26/3,1)&gt;=AB$2,CEILING($F$1*IF($Y$21*$AD$21&gt;=$I$1,1,IF($Y$21*$AD$21&gt;=$H$1,0.5,0))*(1+IF($N$21=$D$1,IF($Y$21*$AD$21&gt;=$K$1,0,IF($Y$21*$AD$21&gt;=$J$1,0,0)),0))*$B26*$D26*$E26^(AB$2-1),1),0)</f>
        <v>0</v>
      </c>
      <c r="AC26" s="47">
        <f>IF(CEILING($B26*$D26/3,1)&gt;=AC$2,CEILING($F$1*IF($Y$21*$AD$21&gt;=$I$1,1,IF($Y$21*$AD$21&gt;=$H$1,0.5,0))*(1+IF($N$21=$D$1,IF($Y$21*$AD$21&gt;=$K$1,0,IF($Y$21*$AD$21&gt;=$J$1,0,0)),0))*$B26*$D26*$E26^(AC$2-1),1),0)</f>
        <v>0</v>
      </c>
      <c r="AD26" s="47">
        <f>IF(CEILING($B26*$D26/3,1)&gt;=AD$2,CEILING($F$1*IF($Y$21*$AD$21&gt;=$I$1,1,IF($Y$21*$AD$21&gt;=$H$1,0.5,0))*(1+IF($N$21=$D$1,IF($Y$21*$AD$21&gt;=$K$1,0,IF($Y$21*$AD$21&gt;=$J$1,0,0)),0))*$B26*$D26*$E26^(AD$2-1),1),0)</f>
        <v>0</v>
      </c>
      <c r="AE26" s="47">
        <f>IF(CEILING($B26*$D26/3,1)&gt;=AE$2,CEILING($F$1*IF($Y$21*$AD$21&gt;=$I$1,1,IF($Y$21*$AD$21&gt;=$H$1,0.5,0))*(1+IF($N$21=$D$1,IF($Y$21*$AD$21&gt;=$K$1,0,IF($Y$21*$AD$21&gt;=$J$1,0,0)),0))*$B26*$D26*$E26^(AE$2-1),1),0)</f>
        <v>0</v>
      </c>
      <c r="AF26" s="47">
        <f>IF(CEILING($B26*$D26/3,1)&gt;=AF$2,CEILING($F$1*IF($Y$21*$AD$21&gt;=$I$1,1,IF($Y$21*$AD$21&gt;=$H$1,0.5,0))*(1+IF($N$21=$D$1,IF($Y$21*$AD$21&gt;=$K$1,0,IF($Y$21*$AD$21&gt;=$J$1,0,0)),0))*$B26*$D26*$E26^(AF$2-1),1),0)</f>
        <v>0</v>
      </c>
      <c r="AG26" s="47">
        <f>IF(CEILING($B26*$D26/3,1)&gt;=AG$2,CEILING($F$1*IF($Y$21*$AD$21&gt;=$I$1,1,IF($Y$21*$AD$21&gt;=$H$1,0.5,0))*(1+IF($N$21=$D$1,IF($Y$21*$AD$21&gt;=$K$1,0,IF($Y$21*$AD$21&gt;=$J$1,0,0)),0))*$B26*$D26*$E26^(AG$2-1),1),0)</f>
        <v>0</v>
      </c>
      <c r="AH26" s="47">
        <f>IF(CEILING($B26*$D26/3,1)&gt;=AH$2,CEILING($F$1*IF($Y$21*$AD$21&gt;=$I$1,1,IF($Y$21*$AD$21&gt;=$H$1,0.5,0))*(1+IF($N$21=$D$1,IF($Y$21*$AD$21&gt;=$K$1,0,IF($Y$21*$AD$21&gt;=$J$1,0,0)),0))*$B26*$D26*$E26^(AH$2-1),1),0)</f>
        <v>0</v>
      </c>
      <c r="AI26" s="48">
        <f>IF(CEILING($B26*$D26/3,1)&gt;=AI$2,CEILING($F$1*IF($Y$21*$AD$21&gt;=$I$1,1,IF($Y$21*$AD$21&gt;=$H$1,0.5,0))*(1+IF($N$21=$D$1,IF($Y$21*$AD$21&gt;=$K$1,0,IF($Y$21*$AD$21&gt;=$J$1,0,0)),0))*$B26*$D26*$E26^(AI$2-1),1),0)</f>
        <v>0</v>
      </c>
    </row>
    <row r="27" spans="1:35" ht="15" customHeight="1" x14ac:dyDescent="0.25">
      <c r="A27" s="12"/>
      <c r="B27" s="9"/>
      <c r="C27" s="9"/>
      <c r="D27" s="9"/>
      <c r="E27" s="9"/>
      <c r="F27" s="9"/>
      <c r="G27" s="9"/>
      <c r="H27" s="9"/>
      <c r="I27" s="9"/>
      <c r="J27" s="10"/>
      <c r="K27" s="10"/>
      <c r="L27" s="10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1"/>
    </row>
    <row r="28" spans="1:35" x14ac:dyDescent="0.25">
      <c r="A28" s="14" t="s">
        <v>14</v>
      </c>
    </row>
    <row r="29" spans="1:35" x14ac:dyDescent="0.25">
      <c r="C29" s="119" t="s">
        <v>15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</row>
    <row r="30" spans="1:35" x14ac:dyDescent="0.25">
      <c r="C30" s="104" t="s">
        <v>16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</row>
    <row r="31" spans="1:35" x14ac:dyDescent="0.25">
      <c r="C31" s="104" t="s">
        <v>17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</row>
    <row r="32" spans="1:35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33" spans="4:34" x14ac:dyDescent="0.25"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</row>
    <row r="34" spans="4:34" x14ac:dyDescent="0.25"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</row>
    <row r="35" spans="4:34" x14ac:dyDescent="0.25">
      <c r="D35" s="56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</row>
    <row r="36" spans="4:34" x14ac:dyDescent="0.25">
      <c r="D36" s="5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</row>
    <row r="51" spans="1:4" x14ac:dyDescent="0.25">
      <c r="A51" s="1"/>
      <c r="B51" s="1"/>
      <c r="D51" s="14"/>
    </row>
    <row r="52" spans="1:4" x14ac:dyDescent="0.25">
      <c r="C52" s="2"/>
      <c r="D52" s="14"/>
    </row>
  </sheetData>
  <sheetProtection password="C4EE" sheet="1" objects="1" scenarios="1"/>
  <mergeCells count="38">
    <mergeCell ref="C29:AH29"/>
    <mergeCell ref="C30:AH30"/>
    <mergeCell ref="C31:AH31"/>
    <mergeCell ref="F21:H21"/>
    <mergeCell ref="J21:M21"/>
    <mergeCell ref="N21:O21"/>
    <mergeCell ref="P21:S21"/>
    <mergeCell ref="U21:X21"/>
    <mergeCell ref="Z21:AC21"/>
    <mergeCell ref="Z6:AC6"/>
    <mergeCell ref="Z15:AC15"/>
    <mergeCell ref="F10:H10"/>
    <mergeCell ref="J10:M10"/>
    <mergeCell ref="N10:O10"/>
    <mergeCell ref="P10:S10"/>
    <mergeCell ref="U10:X10"/>
    <mergeCell ref="Z10:AC10"/>
    <mergeCell ref="F15:H15"/>
    <mergeCell ref="J15:M15"/>
    <mergeCell ref="N15:O15"/>
    <mergeCell ref="P15:S15"/>
    <mergeCell ref="U15:X15"/>
    <mergeCell ref="C32:AH32"/>
    <mergeCell ref="A2:B2"/>
    <mergeCell ref="A3:B3"/>
    <mergeCell ref="N1:X1"/>
    <mergeCell ref="C2:D2"/>
    <mergeCell ref="F3:H3"/>
    <mergeCell ref="J3:M3"/>
    <mergeCell ref="N3:O3"/>
    <mergeCell ref="P3:S3"/>
    <mergeCell ref="U3:X3"/>
    <mergeCell ref="Z3:AC3"/>
    <mergeCell ref="F6:H6"/>
    <mergeCell ref="J6:M6"/>
    <mergeCell ref="N6:O6"/>
    <mergeCell ref="P6:S6"/>
    <mergeCell ref="U6:X6"/>
  </mergeCells>
  <conditionalFormatting sqref="F4:AI4">
    <cfRule type="cellIs" dxfId="29" priority="5" operator="equal">
      <formula>0</formula>
    </cfRule>
  </conditionalFormatting>
  <conditionalFormatting sqref="F7:AI8">
    <cfRule type="cellIs" dxfId="28" priority="4" operator="equal">
      <formula>0</formula>
    </cfRule>
  </conditionalFormatting>
  <conditionalFormatting sqref="F11:AI13">
    <cfRule type="cellIs" dxfId="27" priority="3" operator="equal">
      <formula>0</formula>
    </cfRule>
  </conditionalFormatting>
  <conditionalFormatting sqref="F16:AI19">
    <cfRule type="cellIs" dxfId="26" priority="2" operator="equal">
      <formula>0</formula>
    </cfRule>
  </conditionalFormatting>
  <conditionalFormatting sqref="F22:AI26">
    <cfRule type="cellIs" dxfId="25" priority="1" operator="equal">
      <formula>0</formula>
    </cfRule>
  </conditionalFormatting>
  <dataValidations count="6">
    <dataValidation allowBlank="1" showInputMessage="1" showErrorMessage="1" promptTitle="Q-værdi" prompt="Andelen af MP for den næste af to placeringer." sqref="E4 E7:E8 E11:E13 E16:E19 E22:E26"/>
    <dataValidation type="whole" operator="greaterThan" allowBlank="1" showInputMessage="1" showErrorMessage="1" errorTitle="Fejl" error="Kun postive heltal" sqref="AD21 AD15 AD10 AD6 AD3 Y21 Y15 Y10 Y6 Y3">
      <formula1>0</formula1>
    </dataValidation>
    <dataValidation allowBlank="1" showInputMessage="1" showErrorMessage="1" promptTitle="&quot;dnul&quot;" prompt="Det beregnede antal deltagere" sqref="D16:D19 D11:D13 D22:D26 D7:D8 D4"/>
    <dataValidation type="whole" operator="greaterThanOrEqual" allowBlank="1" showInputMessage="1" showErrorMessage="1" errorTitle="Fejl" error="Kun postive heltal" promptTitle="Minimum" prompt="Mindst 4 deltagere" sqref="T3 T6 T10 T15 T21">
      <formula1>4</formula1>
    </dataValidation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type="list" showInputMessage="1" showErrorMessage="1" errorTitle="Arrangør" error="Intet valg: Alle" promptTitle="Arrangør" prompt="Alle arrangører har samme muligheder." sqref="N6:O6 N3:O3 N21:O21 N15:O15 N10:O10">
      <formula1>$C$1:$D$1</formula1>
    </dataValidation>
  </dataValidations>
  <printOptions horizontalCentered="1"/>
  <pageMargins left="0.31496062992125984" right="0.31496062992125984" top="1.7322834645669292" bottom="0.74803149606299213" header="0.31496062992125984" footer="0.31496062992125984"/>
  <pageSetup paperSize="9" scale="87" orientation="landscape" horizontalDpi="4294967295" verticalDpi="4294967295" r:id="rId1"/>
  <headerFooter>
    <oddHeader>&amp;L&amp;G&amp;C&amp;20Bronzepoint i miniholdturneringer&amp;RVersion 1.1</oddHeader>
    <oddFooter>&amp;CUdskrevet: &amp;D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zoomScaleNormal="100" workbookViewId="0">
      <selection activeCell="N3" sqref="N3:O3"/>
    </sheetView>
  </sheetViews>
  <sheetFormatPr defaultRowHeight="15" x14ac:dyDescent="0.25"/>
  <cols>
    <col min="1" max="1" width="2.28515625" style="14" customWidth="1"/>
    <col min="2" max="2" width="5.28515625" style="57" customWidth="1"/>
    <col min="3" max="3" width="5.7109375" style="1" customWidth="1"/>
    <col min="4" max="4" width="4.7109375" style="13" customWidth="1"/>
    <col min="5" max="5" width="9.140625" style="14" customWidth="1"/>
    <col min="6" max="7" width="5.7109375" style="14" customWidth="1"/>
    <col min="8" max="13" width="4.7109375" style="14" customWidth="1"/>
    <col min="14" max="35" width="4.28515625" style="14" customWidth="1"/>
    <col min="36" max="16384" width="9.140625" style="14"/>
  </cols>
  <sheetData>
    <row r="1" spans="1:35" ht="15" customHeight="1" x14ac:dyDescent="0.25">
      <c r="A1" s="20">
        <v>0</v>
      </c>
      <c r="B1" s="20">
        <v>1</v>
      </c>
      <c r="C1" s="18" t="s">
        <v>5</v>
      </c>
      <c r="D1" s="19" t="s">
        <v>6</v>
      </c>
      <c r="E1" s="19" t="s">
        <v>23</v>
      </c>
      <c r="F1" s="54">
        <v>1.5</v>
      </c>
      <c r="G1" s="20">
        <v>0.1</v>
      </c>
      <c r="H1" s="21">
        <v>27</v>
      </c>
      <c r="I1" s="21">
        <v>42</v>
      </c>
      <c r="J1" s="21">
        <v>100</v>
      </c>
      <c r="K1" s="21">
        <v>150</v>
      </c>
      <c r="L1" s="21">
        <v>0</v>
      </c>
      <c r="M1" s="21">
        <v>2</v>
      </c>
      <c r="N1" s="126" t="s">
        <v>18</v>
      </c>
      <c r="O1" s="126"/>
      <c r="P1" s="126"/>
      <c r="Q1" s="126"/>
      <c r="R1" s="126"/>
      <c r="S1" s="126"/>
      <c r="T1" s="126"/>
      <c r="U1" s="126"/>
      <c r="V1" s="126"/>
      <c r="W1" s="126"/>
      <c r="X1" s="126"/>
    </row>
    <row r="2" spans="1:35" ht="15" customHeight="1" x14ac:dyDescent="0.25">
      <c r="A2" s="105" t="s">
        <v>8</v>
      </c>
      <c r="B2" s="106"/>
      <c r="C2" s="110" t="s">
        <v>9</v>
      </c>
      <c r="D2" s="111"/>
      <c r="E2" s="22" t="s">
        <v>13</v>
      </c>
      <c r="F2" s="23">
        <v>1</v>
      </c>
      <c r="G2" s="23">
        <v>2</v>
      </c>
      <c r="H2" s="23">
        <v>3</v>
      </c>
      <c r="I2" s="23">
        <v>4</v>
      </c>
      <c r="J2" s="23">
        <v>5</v>
      </c>
      <c r="K2" s="23">
        <v>6</v>
      </c>
      <c r="L2" s="23">
        <v>7</v>
      </c>
      <c r="M2" s="23">
        <v>8</v>
      </c>
      <c r="N2" s="23">
        <v>9</v>
      </c>
      <c r="O2" s="23">
        <v>10</v>
      </c>
      <c r="P2" s="23">
        <v>11</v>
      </c>
      <c r="Q2" s="23">
        <v>12</v>
      </c>
      <c r="R2" s="23">
        <v>13</v>
      </c>
      <c r="S2" s="23">
        <v>14</v>
      </c>
      <c r="T2" s="23">
        <v>15</v>
      </c>
      <c r="U2" s="23">
        <v>16</v>
      </c>
      <c r="V2" s="23">
        <v>17</v>
      </c>
      <c r="W2" s="23">
        <v>18</v>
      </c>
      <c r="X2" s="23">
        <v>19</v>
      </c>
      <c r="Y2" s="23">
        <v>20</v>
      </c>
      <c r="Z2" s="23">
        <v>21</v>
      </c>
      <c r="AA2" s="23">
        <v>22</v>
      </c>
      <c r="AB2" s="23">
        <v>23</v>
      </c>
      <c r="AC2" s="23">
        <v>24</v>
      </c>
      <c r="AD2" s="23">
        <v>25</v>
      </c>
      <c r="AE2" s="23">
        <v>26</v>
      </c>
      <c r="AF2" s="23">
        <v>27</v>
      </c>
      <c r="AG2" s="23">
        <v>28</v>
      </c>
      <c r="AH2" s="23">
        <v>29</v>
      </c>
      <c r="AI2" s="24">
        <v>30</v>
      </c>
    </row>
    <row r="3" spans="1:35" ht="15" customHeight="1" x14ac:dyDescent="0.25">
      <c r="A3" s="107" t="s">
        <v>7</v>
      </c>
      <c r="B3" s="108"/>
      <c r="C3" s="5" t="s">
        <v>10</v>
      </c>
      <c r="D3" s="7" t="s">
        <v>33</v>
      </c>
      <c r="E3" s="62" t="s">
        <v>12</v>
      </c>
      <c r="F3" s="125" t="s">
        <v>11</v>
      </c>
      <c r="G3" s="139"/>
      <c r="H3" s="139"/>
      <c r="I3" s="30">
        <v>1</v>
      </c>
      <c r="J3" s="140" t="s">
        <v>3</v>
      </c>
      <c r="K3" s="140"/>
      <c r="L3" s="140"/>
      <c r="M3" s="140"/>
      <c r="N3" s="141" t="s">
        <v>5</v>
      </c>
      <c r="O3" s="141"/>
      <c r="P3" s="115" t="s">
        <v>1</v>
      </c>
      <c r="Q3" s="115"/>
      <c r="R3" s="115"/>
      <c r="S3" s="115"/>
      <c r="T3" s="15">
        <v>10</v>
      </c>
      <c r="U3" s="115" t="s">
        <v>2</v>
      </c>
      <c r="V3" s="115"/>
      <c r="W3" s="115"/>
      <c r="X3" s="115"/>
      <c r="Y3" s="31">
        <v>9</v>
      </c>
      <c r="Z3" s="115" t="s">
        <v>4</v>
      </c>
      <c r="AA3" s="115"/>
      <c r="AB3" s="115"/>
      <c r="AC3" s="115"/>
      <c r="AD3" s="31">
        <v>5</v>
      </c>
      <c r="AE3" s="32"/>
      <c r="AF3" s="32"/>
      <c r="AG3" s="32"/>
      <c r="AH3" s="32"/>
      <c r="AI3" s="27"/>
    </row>
    <row r="4" spans="1:35" ht="15" customHeight="1" x14ac:dyDescent="0.25">
      <c r="A4" s="58">
        <v>1</v>
      </c>
      <c r="B4" s="60">
        <v>1</v>
      </c>
      <c r="C4" s="16">
        <v>0</v>
      </c>
      <c r="D4" s="67">
        <f>'Par-GP'!$D$4</f>
        <v>20</v>
      </c>
      <c r="E4" s="63">
        <f>MAX(($G$1/($F$1*D4))^(1/(ROUNDUP(D4/3,)-1)),2/3)</f>
        <v>0.66666666666666663</v>
      </c>
      <c r="F4" s="28">
        <f>IF(CEILING($B4*$D4*(1+IF($N$3=$D$1,IF($Y$3*$AD$3&gt;=$K$1,0.4,IF($Y$3*$AD$3&gt;=$J$1,0.2,0)),0))/3,1)&gt;=F$2,CEILING($F$1*IF($Y$3*$AD$3&gt;=$I$1,1,IF($Y$3*$AD$3&gt;=$H$1,0.5,0))*(1+IF($N$3=$D$1,IF($Y$3*$AD$3&gt;=$K$1,0.4,IF($Y$3*$AD$3&gt;=$J$1,0.2,0)),0))*$B4*$D4*$E4^(F$2-1),0.1),0)</f>
        <v>30</v>
      </c>
      <c r="G4" s="28">
        <f t="shared" ref="G4:AI4" si="0">IF(CEILING($B4*$D4*(1+IF($N$3=$D$1,IF($Y$3*$AD$3&gt;=$K$1,0.4,IF($Y$3*$AD$3&gt;=$J$1,0.2,0)),0))/3,1)&gt;=G$2,CEILING($F$1*IF($Y$3*$AD$3&gt;=$I$1,1,IF($Y$3*$AD$3&gt;=$H$1,0.5,0))*(1+IF($N$3=$D$1,IF($Y$3*$AD$3&gt;=$K$1,0.4,IF($Y$3*$AD$3&gt;=$J$1,0.2,0)),0))*$B4*$D4*$E4^(G$2-1),0.1),0)</f>
        <v>20</v>
      </c>
      <c r="H4" s="28">
        <f t="shared" si="0"/>
        <v>13.4</v>
      </c>
      <c r="I4" s="28">
        <f t="shared" si="0"/>
        <v>8.9</v>
      </c>
      <c r="J4" s="28">
        <f t="shared" si="0"/>
        <v>6</v>
      </c>
      <c r="K4" s="28">
        <f t="shared" si="0"/>
        <v>4</v>
      </c>
      <c r="L4" s="28">
        <f t="shared" si="0"/>
        <v>2.7</v>
      </c>
      <c r="M4" s="28">
        <f t="shared" si="0"/>
        <v>0</v>
      </c>
      <c r="N4" s="28">
        <f t="shared" si="0"/>
        <v>0</v>
      </c>
      <c r="O4" s="28">
        <f t="shared" si="0"/>
        <v>0</v>
      </c>
      <c r="P4" s="28">
        <f t="shared" si="0"/>
        <v>0</v>
      </c>
      <c r="Q4" s="28">
        <f t="shared" si="0"/>
        <v>0</v>
      </c>
      <c r="R4" s="28">
        <f t="shared" si="0"/>
        <v>0</v>
      </c>
      <c r="S4" s="28">
        <f t="shared" si="0"/>
        <v>0</v>
      </c>
      <c r="T4" s="28">
        <f t="shared" si="0"/>
        <v>0</v>
      </c>
      <c r="U4" s="28">
        <f t="shared" si="0"/>
        <v>0</v>
      </c>
      <c r="V4" s="28">
        <f t="shared" si="0"/>
        <v>0</v>
      </c>
      <c r="W4" s="28">
        <f t="shared" si="0"/>
        <v>0</v>
      </c>
      <c r="X4" s="28">
        <f t="shared" si="0"/>
        <v>0</v>
      </c>
      <c r="Y4" s="28">
        <f t="shared" si="0"/>
        <v>0</v>
      </c>
      <c r="Z4" s="28">
        <f t="shared" si="0"/>
        <v>0</v>
      </c>
      <c r="AA4" s="28">
        <f t="shared" si="0"/>
        <v>0</v>
      </c>
      <c r="AB4" s="28">
        <f t="shared" si="0"/>
        <v>0</v>
      </c>
      <c r="AC4" s="28">
        <f t="shared" si="0"/>
        <v>0</v>
      </c>
      <c r="AD4" s="28">
        <f t="shared" si="0"/>
        <v>0</v>
      </c>
      <c r="AE4" s="28">
        <f t="shared" si="0"/>
        <v>0</v>
      </c>
      <c r="AF4" s="28">
        <f t="shared" si="0"/>
        <v>0</v>
      </c>
      <c r="AG4" s="28">
        <f t="shared" si="0"/>
        <v>0</v>
      </c>
      <c r="AH4" s="28">
        <f t="shared" si="0"/>
        <v>0</v>
      </c>
      <c r="AI4" s="29">
        <f t="shared" si="0"/>
        <v>0</v>
      </c>
    </row>
    <row r="5" spans="1:35" ht="15" customHeight="1" x14ac:dyDescent="0.25">
      <c r="A5" s="58"/>
      <c r="B5" s="60"/>
      <c r="C5" s="6"/>
      <c r="D5" s="68"/>
      <c r="E5" s="64"/>
      <c r="F5" s="3"/>
      <c r="G5" s="3"/>
      <c r="H5" s="3"/>
      <c r="I5" s="3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5" customHeight="1" x14ac:dyDescent="0.25">
      <c r="A6" s="58"/>
      <c r="B6" s="60"/>
      <c r="C6" s="6"/>
      <c r="D6" s="68"/>
      <c r="E6" s="64"/>
      <c r="F6" s="125" t="s">
        <v>11</v>
      </c>
      <c r="G6" s="112"/>
      <c r="H6" s="112"/>
      <c r="I6" s="25">
        <v>2</v>
      </c>
      <c r="J6" s="113" t="s">
        <v>3</v>
      </c>
      <c r="K6" s="113"/>
      <c r="L6" s="113"/>
      <c r="M6" s="113"/>
      <c r="N6" s="118" t="s">
        <v>5</v>
      </c>
      <c r="O6" s="118"/>
      <c r="P6" s="116" t="s">
        <v>1</v>
      </c>
      <c r="Q6" s="116"/>
      <c r="R6" s="116"/>
      <c r="S6" s="116"/>
      <c r="T6" s="15">
        <v>10</v>
      </c>
      <c r="U6" s="115" t="s">
        <v>2</v>
      </c>
      <c r="V6" s="115"/>
      <c r="W6" s="115"/>
      <c r="X6" s="115"/>
      <c r="Y6" s="31">
        <v>9</v>
      </c>
      <c r="Z6" s="115" t="s">
        <v>4</v>
      </c>
      <c r="AA6" s="115"/>
      <c r="AB6" s="115"/>
      <c r="AC6" s="115"/>
      <c r="AD6" s="15">
        <v>5</v>
      </c>
      <c r="AE6" s="26"/>
      <c r="AF6" s="26"/>
      <c r="AG6" s="26"/>
      <c r="AH6" s="26"/>
      <c r="AI6" s="27"/>
    </row>
    <row r="7" spans="1:35" ht="15" customHeight="1" x14ac:dyDescent="0.25">
      <c r="A7" s="58">
        <v>1</v>
      </c>
      <c r="B7" s="60">
        <v>1.1000000000000001</v>
      </c>
      <c r="C7" s="16">
        <v>0</v>
      </c>
      <c r="D7" s="67">
        <f>CEILING(1+MIN(Y$6,T$6-C7-1)+MAX((T$6-C7-1-Y$6)/$M$1,0),1)</f>
        <v>10</v>
      </c>
      <c r="E7" s="63">
        <f>MAX(($G$1/($F$1*D7))^(1/(ROUNDUP(D7/3,)-1)),2/3)</f>
        <v>0.66666666666666663</v>
      </c>
      <c r="F7" s="28">
        <f>IF(CEILING($B7*$D7*(1+IF($N$6=$D$1,IF($Y$6*$AD$6&gt;=$K$1,0.4,IF($Y$6*$AD$6&gt;=$J$1,0.2,0)),0))/3,1)&gt;=F$2,CEILING($F$1*IF($Y$6*$AD$6&gt;=$I$1,1,IF($Y$6*$AD$6&gt;=$H$1,0.5,0))*(1+IF($N$6=$D$1,IF($Y$6*$AD$6&gt;=$K$1,0.4,IF($Y$6*$AD$6&gt;=$J$1,0.2,0)),0))*$B7*$D7*$E7^(F$2-1),0.1),0)</f>
        <v>16.5</v>
      </c>
      <c r="G7" s="28">
        <f t="shared" ref="G7:AI8" si="1">IF(CEILING($B7*$D7*(1+IF($N$6=$D$1,IF($Y$6*$AD$6&gt;=$K$1,0.4,IF($Y$6*$AD$6&gt;=$J$1,0.2,0)),0))/3,1)&gt;=G$2,CEILING($F$1*IF($Y$6*$AD$6&gt;=$I$1,1,IF($Y$6*$AD$6&gt;=$H$1,0.5,0))*(1+IF($N$6=$D$1,IF($Y$6*$AD$6&gt;=$K$1,0.4,IF($Y$6*$AD$6&gt;=$J$1,0.2,0)),0))*$B7*$D7*$E7^(G$2-1),0.1),0)</f>
        <v>11</v>
      </c>
      <c r="H7" s="28">
        <f t="shared" si="1"/>
        <v>7.4</v>
      </c>
      <c r="I7" s="28">
        <f t="shared" si="1"/>
        <v>4.9000000000000004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0</v>
      </c>
      <c r="U7" s="28">
        <f t="shared" si="1"/>
        <v>0</v>
      </c>
      <c r="V7" s="28">
        <f t="shared" si="1"/>
        <v>0</v>
      </c>
      <c r="W7" s="28">
        <f t="shared" si="1"/>
        <v>0</v>
      </c>
      <c r="X7" s="28">
        <f t="shared" si="1"/>
        <v>0</v>
      </c>
      <c r="Y7" s="28">
        <f t="shared" si="1"/>
        <v>0</v>
      </c>
      <c r="Z7" s="28">
        <f t="shared" si="1"/>
        <v>0</v>
      </c>
      <c r="AA7" s="28">
        <f t="shared" si="1"/>
        <v>0</v>
      </c>
      <c r="AB7" s="28">
        <f t="shared" si="1"/>
        <v>0</v>
      </c>
      <c r="AC7" s="28">
        <f t="shared" si="1"/>
        <v>0</v>
      </c>
      <c r="AD7" s="28">
        <f t="shared" si="1"/>
        <v>0</v>
      </c>
      <c r="AE7" s="28">
        <f t="shared" si="1"/>
        <v>0</v>
      </c>
      <c r="AF7" s="28">
        <f t="shared" si="1"/>
        <v>0</v>
      </c>
      <c r="AG7" s="28">
        <f t="shared" si="1"/>
        <v>0</v>
      </c>
      <c r="AH7" s="28">
        <f t="shared" si="1"/>
        <v>0</v>
      </c>
      <c r="AI7" s="29">
        <f t="shared" si="1"/>
        <v>0</v>
      </c>
    </row>
    <row r="8" spans="1:35" ht="15" customHeight="1" x14ac:dyDescent="0.25">
      <c r="A8" s="58">
        <v>2</v>
      </c>
      <c r="B8" s="60">
        <v>0.9</v>
      </c>
      <c r="C8" s="16">
        <v>0</v>
      </c>
      <c r="D8" s="67">
        <f>CEILING(1+MIN(Y$6,T$6-C8-1)+MAX((T$6-C8-1-Y$6)/$M$1,0),1)</f>
        <v>10</v>
      </c>
      <c r="E8" s="63">
        <f>MAX(($G$1/($F$1*D8))^(1/(ROUNDUP(D8/3,)-1)),2/3)</f>
        <v>0.66666666666666663</v>
      </c>
      <c r="F8" s="28">
        <f>IF(CEILING($B8*$D8*(1+IF($N$6=$D$1,IF($Y$6*$AD$6&gt;=$K$1,0.4,IF($Y$6*$AD$6&gt;=$J$1,0.2,0)),0))/3,1)&gt;=F$2,CEILING($F$1*IF($Y$6*$AD$6&gt;=$I$1,1,IF($Y$6*$AD$6&gt;=$H$1,0.5,0))*(1+IF($N$6=$D$1,IF($Y$6*$AD$6&gt;=$K$1,0.4,IF($Y$6*$AD$6&gt;=$J$1,0.2,0)),0))*$B8*$D8*$E8^(F$2-1),0.1),0)</f>
        <v>13.5</v>
      </c>
      <c r="G8" s="28">
        <f t="shared" si="1"/>
        <v>9</v>
      </c>
      <c r="H8" s="28">
        <f t="shared" si="1"/>
        <v>6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  <c r="M8" s="28">
        <f t="shared" si="1"/>
        <v>0</v>
      </c>
      <c r="N8" s="28">
        <f t="shared" si="1"/>
        <v>0</v>
      </c>
      <c r="O8" s="28">
        <f t="shared" si="1"/>
        <v>0</v>
      </c>
      <c r="P8" s="28">
        <f t="shared" si="1"/>
        <v>0</v>
      </c>
      <c r="Q8" s="28">
        <f t="shared" si="1"/>
        <v>0</v>
      </c>
      <c r="R8" s="28">
        <f t="shared" si="1"/>
        <v>0</v>
      </c>
      <c r="S8" s="28">
        <f t="shared" si="1"/>
        <v>0</v>
      </c>
      <c r="T8" s="28">
        <f t="shared" si="1"/>
        <v>0</v>
      </c>
      <c r="U8" s="28">
        <f t="shared" si="1"/>
        <v>0</v>
      </c>
      <c r="V8" s="28">
        <f t="shared" si="1"/>
        <v>0</v>
      </c>
      <c r="W8" s="28">
        <f t="shared" si="1"/>
        <v>0</v>
      </c>
      <c r="X8" s="28">
        <f t="shared" si="1"/>
        <v>0</v>
      </c>
      <c r="Y8" s="28">
        <f t="shared" si="1"/>
        <v>0</v>
      </c>
      <c r="Z8" s="28">
        <f t="shared" si="1"/>
        <v>0</v>
      </c>
      <c r="AA8" s="28">
        <f t="shared" si="1"/>
        <v>0</v>
      </c>
      <c r="AB8" s="28">
        <f t="shared" si="1"/>
        <v>0</v>
      </c>
      <c r="AC8" s="28">
        <f t="shared" si="1"/>
        <v>0</v>
      </c>
      <c r="AD8" s="28">
        <f t="shared" si="1"/>
        <v>0</v>
      </c>
      <c r="AE8" s="28">
        <f t="shared" si="1"/>
        <v>0</v>
      </c>
      <c r="AF8" s="28">
        <f t="shared" si="1"/>
        <v>0</v>
      </c>
      <c r="AG8" s="28">
        <f t="shared" si="1"/>
        <v>0</v>
      </c>
      <c r="AH8" s="28">
        <f t="shared" si="1"/>
        <v>0</v>
      </c>
      <c r="AI8" s="29">
        <f t="shared" si="1"/>
        <v>0</v>
      </c>
    </row>
    <row r="9" spans="1:35" ht="15" customHeight="1" x14ac:dyDescent="0.25">
      <c r="A9" s="58"/>
      <c r="B9" s="60"/>
      <c r="C9" s="6"/>
      <c r="D9" s="68"/>
      <c r="E9" s="64"/>
      <c r="F9" s="3"/>
      <c r="G9" s="3"/>
      <c r="H9" s="3"/>
      <c r="I9" s="3"/>
      <c r="J9" s="8"/>
      <c r="K9" s="8"/>
      <c r="L9" s="8"/>
      <c r="M9" s="8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4"/>
    </row>
    <row r="10" spans="1:35" ht="15" customHeight="1" x14ac:dyDescent="0.25">
      <c r="A10" s="58"/>
      <c r="B10" s="60"/>
      <c r="C10" s="6"/>
      <c r="D10" s="68"/>
      <c r="E10" s="64"/>
      <c r="F10" s="125" t="s">
        <v>11</v>
      </c>
      <c r="G10" s="112"/>
      <c r="H10" s="112"/>
      <c r="I10" s="25">
        <v>3</v>
      </c>
      <c r="J10" s="113" t="s">
        <v>3</v>
      </c>
      <c r="K10" s="113"/>
      <c r="L10" s="113"/>
      <c r="M10" s="113"/>
      <c r="N10" s="118" t="s">
        <v>5</v>
      </c>
      <c r="O10" s="118"/>
      <c r="P10" s="116" t="s">
        <v>1</v>
      </c>
      <c r="Q10" s="116"/>
      <c r="R10" s="116"/>
      <c r="S10" s="116"/>
      <c r="T10" s="15">
        <v>10</v>
      </c>
      <c r="U10" s="115" t="s">
        <v>2</v>
      </c>
      <c r="V10" s="115"/>
      <c r="W10" s="115"/>
      <c r="X10" s="115"/>
      <c r="Y10" s="31">
        <v>9</v>
      </c>
      <c r="Z10" s="115" t="s">
        <v>4</v>
      </c>
      <c r="AA10" s="115"/>
      <c r="AB10" s="115"/>
      <c r="AC10" s="115"/>
      <c r="AD10" s="15">
        <v>5</v>
      </c>
      <c r="AE10" s="26"/>
      <c r="AF10" s="26"/>
      <c r="AG10" s="26"/>
      <c r="AH10" s="26"/>
      <c r="AI10" s="27"/>
    </row>
    <row r="11" spans="1:35" ht="15" customHeight="1" x14ac:dyDescent="0.25">
      <c r="A11" s="58">
        <v>1</v>
      </c>
      <c r="B11" s="60">
        <v>1.1499999999999999</v>
      </c>
      <c r="C11" s="16">
        <v>0</v>
      </c>
      <c r="D11" s="67">
        <f>CEILING(1+MIN(Y$10,T$10-C11-1)+MAX((T$10-C11-1-Y$10)/$M$1,0),1)</f>
        <v>10</v>
      </c>
      <c r="E11" s="63">
        <f>MAX(($G$1/($F$1*D11))^(1/(ROUNDUP(D11/3,)-1)),2/3)</f>
        <v>0.66666666666666663</v>
      </c>
      <c r="F11" s="28">
        <f>IF(CEILING($B11*$D11*(1+IF($N$10=$D$1,IF($Y$10*$AD$10&gt;=$K$1,0.4,IF($Y$10*$AD$10&gt;=$J$1,0.2,0)),0))/3,1)&gt;=F$2,CEILING($F$1*IF($Y$10*$AD$10&gt;=$I$1,1,IF($Y$10*$AD$10&gt;=$H$1,0.5,0))*(1+IF($N$10=$D$1,IF($Y$10*$AD$10&gt;=$K$1,0.4,IF($Y$10*$AD$10&gt;=$J$1,0.2,0)),0))*$B11*$D11*$E11^(F$2-1),0.1),0)</f>
        <v>17.3</v>
      </c>
      <c r="G11" s="28">
        <f t="shared" ref="G11:AI13" si="2">IF(CEILING($B11*$D11*(1+IF($N$10=$D$1,IF($Y$10*$AD$10&gt;=$K$1,0.4,IF($Y$10*$AD$10&gt;=$J$1,0.2,0)),0))/3,1)&gt;=G$2,CEILING($F$1*IF($Y$10*$AD$10&gt;=$I$1,1,IF($Y$10*$AD$10&gt;=$H$1,0.5,0))*(1+IF($N$10=$D$1,IF($Y$10*$AD$10&gt;=$K$1,0.4,IF($Y$10*$AD$10&gt;=$J$1,0.2,0)),0))*$B11*$D11*$E11^(G$2-1),0.1),0)</f>
        <v>11.5</v>
      </c>
      <c r="H11" s="28">
        <f t="shared" si="2"/>
        <v>7.7</v>
      </c>
      <c r="I11" s="28">
        <f t="shared" si="2"/>
        <v>5.2</v>
      </c>
      <c r="J11" s="28">
        <f t="shared" si="2"/>
        <v>0</v>
      </c>
      <c r="K11" s="28">
        <f t="shared" si="2"/>
        <v>0</v>
      </c>
      <c r="L11" s="28">
        <f t="shared" si="2"/>
        <v>0</v>
      </c>
      <c r="M11" s="28">
        <f t="shared" si="2"/>
        <v>0</v>
      </c>
      <c r="N11" s="28">
        <f t="shared" si="2"/>
        <v>0</v>
      </c>
      <c r="O11" s="28">
        <f t="shared" si="2"/>
        <v>0</v>
      </c>
      <c r="P11" s="28">
        <f t="shared" si="2"/>
        <v>0</v>
      </c>
      <c r="Q11" s="28">
        <f t="shared" si="2"/>
        <v>0</v>
      </c>
      <c r="R11" s="28">
        <f t="shared" si="2"/>
        <v>0</v>
      </c>
      <c r="S11" s="28">
        <f t="shared" si="2"/>
        <v>0</v>
      </c>
      <c r="T11" s="28">
        <f t="shared" si="2"/>
        <v>0</v>
      </c>
      <c r="U11" s="28">
        <f t="shared" si="2"/>
        <v>0</v>
      </c>
      <c r="V11" s="28">
        <f t="shared" si="2"/>
        <v>0</v>
      </c>
      <c r="W11" s="28">
        <f t="shared" si="2"/>
        <v>0</v>
      </c>
      <c r="X11" s="28">
        <f t="shared" si="2"/>
        <v>0</v>
      </c>
      <c r="Y11" s="28">
        <f t="shared" si="2"/>
        <v>0</v>
      </c>
      <c r="Z11" s="28">
        <f t="shared" si="2"/>
        <v>0</v>
      </c>
      <c r="AA11" s="28">
        <f t="shared" si="2"/>
        <v>0</v>
      </c>
      <c r="AB11" s="28">
        <f t="shared" si="2"/>
        <v>0</v>
      </c>
      <c r="AC11" s="28">
        <f t="shared" si="2"/>
        <v>0</v>
      </c>
      <c r="AD11" s="28">
        <f t="shared" si="2"/>
        <v>0</v>
      </c>
      <c r="AE11" s="28">
        <f t="shared" si="2"/>
        <v>0</v>
      </c>
      <c r="AF11" s="28">
        <f t="shared" si="2"/>
        <v>0</v>
      </c>
      <c r="AG11" s="28">
        <f t="shared" si="2"/>
        <v>0</v>
      </c>
      <c r="AH11" s="28">
        <f t="shared" si="2"/>
        <v>0</v>
      </c>
      <c r="AI11" s="29">
        <f t="shared" si="2"/>
        <v>0</v>
      </c>
    </row>
    <row r="12" spans="1:35" ht="15" customHeight="1" x14ac:dyDescent="0.25">
      <c r="A12" s="58">
        <v>2</v>
      </c>
      <c r="B12" s="60">
        <v>1</v>
      </c>
      <c r="C12" s="16">
        <v>0</v>
      </c>
      <c r="D12" s="67">
        <f>CEILING(1+MIN(Y$10,T$10-C12-1)+MAX((T$10-C12-1-Y$10)/$M$1,0),1)</f>
        <v>10</v>
      </c>
      <c r="E12" s="63">
        <f>MAX(($G$1/($F$1*D12))^(1/(ROUNDUP(D12/3,)-1)),2/3)</f>
        <v>0.66666666666666663</v>
      </c>
      <c r="F12" s="28">
        <f t="shared" ref="F12:U13" si="3">IF(CEILING($B12*$D12*(1+IF($N$10=$D$1,IF($Y$10*$AD$10&gt;=$K$1,0.4,IF($Y$10*$AD$10&gt;=$J$1,0.2,0)),0))/3,1)&gt;=F$2,CEILING($F$1*IF($Y$10*$AD$10&gt;=$I$1,1,IF($Y$10*$AD$10&gt;=$H$1,0.5,0))*(1+IF($N$10=$D$1,IF($Y$10*$AD$10&gt;=$K$1,0.4,IF($Y$10*$AD$10&gt;=$J$1,0.2,0)),0))*$B12*$D12*$E12^(F$2-1),0.1),0)</f>
        <v>15</v>
      </c>
      <c r="G12" s="28">
        <f t="shared" si="3"/>
        <v>10</v>
      </c>
      <c r="H12" s="28">
        <f t="shared" si="3"/>
        <v>6.7</v>
      </c>
      <c r="I12" s="28">
        <f t="shared" si="3"/>
        <v>4.5</v>
      </c>
      <c r="J12" s="28">
        <f t="shared" si="3"/>
        <v>0</v>
      </c>
      <c r="K12" s="28">
        <f t="shared" si="3"/>
        <v>0</v>
      </c>
      <c r="L12" s="28">
        <f t="shared" si="3"/>
        <v>0</v>
      </c>
      <c r="M12" s="28">
        <f t="shared" si="3"/>
        <v>0</v>
      </c>
      <c r="N12" s="28">
        <f t="shared" si="3"/>
        <v>0</v>
      </c>
      <c r="O12" s="28">
        <f t="shared" si="3"/>
        <v>0</v>
      </c>
      <c r="P12" s="28">
        <f t="shared" si="3"/>
        <v>0</v>
      </c>
      <c r="Q12" s="28">
        <f t="shared" si="3"/>
        <v>0</v>
      </c>
      <c r="R12" s="28">
        <f t="shared" si="3"/>
        <v>0</v>
      </c>
      <c r="S12" s="28">
        <f t="shared" si="3"/>
        <v>0</v>
      </c>
      <c r="T12" s="28">
        <f t="shared" si="3"/>
        <v>0</v>
      </c>
      <c r="U12" s="28">
        <f t="shared" si="3"/>
        <v>0</v>
      </c>
      <c r="V12" s="28">
        <f t="shared" si="2"/>
        <v>0</v>
      </c>
      <c r="W12" s="28">
        <f t="shared" si="2"/>
        <v>0</v>
      </c>
      <c r="X12" s="28">
        <f t="shared" si="2"/>
        <v>0</v>
      </c>
      <c r="Y12" s="28">
        <f t="shared" si="2"/>
        <v>0</v>
      </c>
      <c r="Z12" s="28">
        <f t="shared" si="2"/>
        <v>0</v>
      </c>
      <c r="AA12" s="28">
        <f t="shared" si="2"/>
        <v>0</v>
      </c>
      <c r="AB12" s="28">
        <f t="shared" si="2"/>
        <v>0</v>
      </c>
      <c r="AC12" s="28">
        <f t="shared" si="2"/>
        <v>0</v>
      </c>
      <c r="AD12" s="28">
        <f t="shared" si="2"/>
        <v>0</v>
      </c>
      <c r="AE12" s="28">
        <f t="shared" si="2"/>
        <v>0</v>
      </c>
      <c r="AF12" s="28">
        <f t="shared" si="2"/>
        <v>0</v>
      </c>
      <c r="AG12" s="28">
        <f t="shared" si="2"/>
        <v>0</v>
      </c>
      <c r="AH12" s="28">
        <f t="shared" si="2"/>
        <v>0</v>
      </c>
      <c r="AI12" s="29">
        <f t="shared" si="2"/>
        <v>0</v>
      </c>
    </row>
    <row r="13" spans="1:35" ht="15" customHeight="1" x14ac:dyDescent="0.25">
      <c r="A13" s="58">
        <v>3</v>
      </c>
      <c r="B13" s="60">
        <v>0.85</v>
      </c>
      <c r="C13" s="16">
        <v>0</v>
      </c>
      <c r="D13" s="67">
        <f>CEILING(1+MIN(Y$10,T$10-C13-1)+MAX((T$10-C13-1-Y$10)/$M$1,0),1)</f>
        <v>10</v>
      </c>
      <c r="E13" s="63">
        <f>MAX(($G$1/($F$1*D13))^(1/(ROUNDUP(D13/3,)-1)),2/3)</f>
        <v>0.66666666666666663</v>
      </c>
      <c r="F13" s="28">
        <f t="shared" si="3"/>
        <v>12.8</v>
      </c>
      <c r="G13" s="28">
        <f t="shared" si="2"/>
        <v>8.5</v>
      </c>
      <c r="H13" s="28">
        <f t="shared" si="2"/>
        <v>5.7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28">
        <f t="shared" si="2"/>
        <v>0</v>
      </c>
      <c r="Q13" s="28">
        <f t="shared" si="2"/>
        <v>0</v>
      </c>
      <c r="R13" s="28">
        <f t="shared" si="2"/>
        <v>0</v>
      </c>
      <c r="S13" s="28">
        <f t="shared" si="2"/>
        <v>0</v>
      </c>
      <c r="T13" s="28">
        <f t="shared" si="2"/>
        <v>0</v>
      </c>
      <c r="U13" s="28">
        <f t="shared" si="2"/>
        <v>0</v>
      </c>
      <c r="V13" s="28">
        <f t="shared" si="2"/>
        <v>0</v>
      </c>
      <c r="W13" s="28">
        <f t="shared" si="2"/>
        <v>0</v>
      </c>
      <c r="X13" s="28">
        <f t="shared" si="2"/>
        <v>0</v>
      </c>
      <c r="Y13" s="28">
        <f t="shared" si="2"/>
        <v>0</v>
      </c>
      <c r="Z13" s="28">
        <f t="shared" si="2"/>
        <v>0</v>
      </c>
      <c r="AA13" s="28">
        <f t="shared" si="2"/>
        <v>0</v>
      </c>
      <c r="AB13" s="28">
        <f t="shared" si="2"/>
        <v>0</v>
      </c>
      <c r="AC13" s="28">
        <f t="shared" si="2"/>
        <v>0</v>
      </c>
      <c r="AD13" s="28">
        <f t="shared" si="2"/>
        <v>0</v>
      </c>
      <c r="AE13" s="28">
        <f t="shared" si="2"/>
        <v>0</v>
      </c>
      <c r="AF13" s="28">
        <f t="shared" si="2"/>
        <v>0</v>
      </c>
      <c r="AG13" s="28">
        <f t="shared" si="2"/>
        <v>0</v>
      </c>
      <c r="AH13" s="28">
        <f t="shared" si="2"/>
        <v>0</v>
      </c>
      <c r="AI13" s="29">
        <f t="shared" si="2"/>
        <v>0</v>
      </c>
    </row>
    <row r="14" spans="1:35" ht="15" customHeight="1" x14ac:dyDescent="0.25">
      <c r="A14" s="58"/>
      <c r="B14" s="60"/>
      <c r="C14" s="6"/>
      <c r="D14" s="68"/>
      <c r="E14" s="64"/>
      <c r="F14" s="3"/>
      <c r="G14" s="3"/>
      <c r="H14" s="3"/>
      <c r="I14" s="3"/>
      <c r="J14" s="8"/>
      <c r="K14" s="8"/>
      <c r="L14" s="8"/>
      <c r="M14" s="8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4"/>
    </row>
    <row r="15" spans="1:35" ht="15" customHeight="1" x14ac:dyDescent="0.25">
      <c r="A15" s="58"/>
      <c r="B15" s="60"/>
      <c r="C15" s="6"/>
      <c r="D15" s="68"/>
      <c r="E15" s="64"/>
      <c r="F15" s="125" t="s">
        <v>11</v>
      </c>
      <c r="G15" s="112"/>
      <c r="H15" s="112"/>
      <c r="I15" s="25">
        <v>4</v>
      </c>
      <c r="J15" s="113" t="s">
        <v>3</v>
      </c>
      <c r="K15" s="113"/>
      <c r="L15" s="113"/>
      <c r="M15" s="113"/>
      <c r="N15" s="118" t="s">
        <v>5</v>
      </c>
      <c r="O15" s="118"/>
      <c r="P15" s="116" t="s">
        <v>1</v>
      </c>
      <c r="Q15" s="116"/>
      <c r="R15" s="116"/>
      <c r="S15" s="116"/>
      <c r="T15" s="15">
        <v>10</v>
      </c>
      <c r="U15" s="115" t="s">
        <v>2</v>
      </c>
      <c r="V15" s="115"/>
      <c r="W15" s="115"/>
      <c r="X15" s="115"/>
      <c r="Y15" s="31">
        <v>9</v>
      </c>
      <c r="Z15" s="115" t="s">
        <v>4</v>
      </c>
      <c r="AA15" s="115"/>
      <c r="AB15" s="115"/>
      <c r="AC15" s="115"/>
      <c r="AD15" s="15">
        <v>5</v>
      </c>
      <c r="AE15" s="26"/>
      <c r="AF15" s="26"/>
      <c r="AG15" s="26"/>
      <c r="AH15" s="26"/>
      <c r="AI15" s="27"/>
    </row>
    <row r="16" spans="1:35" ht="15" customHeight="1" x14ac:dyDescent="0.25">
      <c r="A16" s="58">
        <v>1</v>
      </c>
      <c r="B16" s="60">
        <v>1.1499999999999999</v>
      </c>
      <c r="C16" s="16">
        <v>0</v>
      </c>
      <c r="D16" s="67">
        <f>CEILING(1+MIN(Y$15,T$15-C16-1)+MAX((T$15-C16-1-Y$15)/$M$1,0),1)</f>
        <v>10</v>
      </c>
      <c r="E16" s="63">
        <f>MAX(($G$1/($F$1*D16))^(1/(ROUNDUP(D16/3,)-1)),2/3)</f>
        <v>0.66666666666666663</v>
      </c>
      <c r="F16" s="28">
        <f>IF(CEILING($B16*$D16*(1+IF($N$15=$D$1,IF($Y$15*$AD$15&gt;=$K$1,0.4,IF($Y$15*$AD$15&gt;=$J$1,0.2,0)),0))/3,1)&gt;=F$2,CEILING($F$1*IF($Y$15*$AD$15&gt;=$I$1,1,IF($Y$15*$AD$15&gt;=$H$1,0.5,0))*(1+IF($N$15=$D$1,IF($Y$15*$AD$15&gt;=$K$1,0.4,IF($Y$15*$AD$15&gt;=$J$1,0.2,0)),0))*$B16*$D16*$E16^(F$2-1),0.1),0)</f>
        <v>17.3</v>
      </c>
      <c r="G16" s="28">
        <f t="shared" ref="G16:AI19" si="4">IF(CEILING($B16*$D16*(1+IF($N$15=$D$1,IF($Y$15*$AD$15&gt;=$K$1,0.4,IF($Y$15*$AD$15&gt;=$J$1,0.2,0)),0))/3,1)&gt;=G$2,CEILING($F$1*IF($Y$15*$AD$15&gt;=$I$1,1,IF($Y$15*$AD$15&gt;=$H$1,0.5,0))*(1+IF($N$15=$D$1,IF($Y$15*$AD$15&gt;=$K$1,0.4,IF($Y$15*$AD$15&gt;=$J$1,0.2,0)),0))*$B16*$D16*$E16^(G$2-1),0.1),0)</f>
        <v>11.5</v>
      </c>
      <c r="H16" s="28">
        <f t="shared" si="4"/>
        <v>7.7</v>
      </c>
      <c r="I16" s="28">
        <f t="shared" si="4"/>
        <v>5.2</v>
      </c>
      <c r="J16" s="28">
        <f t="shared" si="4"/>
        <v>0</v>
      </c>
      <c r="K16" s="28">
        <f t="shared" si="4"/>
        <v>0</v>
      </c>
      <c r="L16" s="28">
        <f t="shared" si="4"/>
        <v>0</v>
      </c>
      <c r="M16" s="28">
        <f t="shared" si="4"/>
        <v>0</v>
      </c>
      <c r="N16" s="28">
        <f t="shared" si="4"/>
        <v>0</v>
      </c>
      <c r="O16" s="28">
        <f t="shared" si="4"/>
        <v>0</v>
      </c>
      <c r="P16" s="28">
        <f t="shared" si="4"/>
        <v>0</v>
      </c>
      <c r="Q16" s="28">
        <f t="shared" si="4"/>
        <v>0</v>
      </c>
      <c r="R16" s="28">
        <f t="shared" si="4"/>
        <v>0</v>
      </c>
      <c r="S16" s="28">
        <f t="shared" si="4"/>
        <v>0</v>
      </c>
      <c r="T16" s="28">
        <f t="shared" si="4"/>
        <v>0</v>
      </c>
      <c r="U16" s="28">
        <f t="shared" si="4"/>
        <v>0</v>
      </c>
      <c r="V16" s="28">
        <f t="shared" si="4"/>
        <v>0</v>
      </c>
      <c r="W16" s="28">
        <f t="shared" si="4"/>
        <v>0</v>
      </c>
      <c r="X16" s="28">
        <f t="shared" si="4"/>
        <v>0</v>
      </c>
      <c r="Y16" s="28">
        <f t="shared" si="4"/>
        <v>0</v>
      </c>
      <c r="Z16" s="28">
        <f t="shared" si="4"/>
        <v>0</v>
      </c>
      <c r="AA16" s="28">
        <f t="shared" si="4"/>
        <v>0</v>
      </c>
      <c r="AB16" s="28">
        <f t="shared" si="4"/>
        <v>0</v>
      </c>
      <c r="AC16" s="28">
        <f t="shared" si="4"/>
        <v>0</v>
      </c>
      <c r="AD16" s="28">
        <f t="shared" si="4"/>
        <v>0</v>
      </c>
      <c r="AE16" s="28">
        <f t="shared" si="4"/>
        <v>0</v>
      </c>
      <c r="AF16" s="28">
        <f t="shared" si="4"/>
        <v>0</v>
      </c>
      <c r="AG16" s="28">
        <f t="shared" si="4"/>
        <v>0</v>
      </c>
      <c r="AH16" s="28">
        <f t="shared" si="4"/>
        <v>0</v>
      </c>
      <c r="AI16" s="29">
        <f t="shared" si="4"/>
        <v>0</v>
      </c>
    </row>
    <row r="17" spans="1:35" ht="15" customHeight="1" x14ac:dyDescent="0.25">
      <c r="A17" s="58">
        <v>2</v>
      </c>
      <c r="B17" s="60">
        <v>1.05</v>
      </c>
      <c r="C17" s="16">
        <v>0</v>
      </c>
      <c r="D17" s="67">
        <f>CEILING(1+MIN(Y$15,T$15-C17-1)+MAX((T$15-C17-1-Y$15)/$M$1,0),1)</f>
        <v>10</v>
      </c>
      <c r="E17" s="63">
        <f>MAX(($G$1/($F$1*D17))^(1/(ROUNDUP(D17/3,)-1)),2/3)</f>
        <v>0.66666666666666663</v>
      </c>
      <c r="F17" s="28">
        <f t="shared" ref="F17:U19" si="5">IF(CEILING($B17*$D17*(1+IF($N$15=$D$1,IF($Y$15*$AD$15&gt;=$K$1,0.4,IF($Y$15*$AD$15&gt;=$J$1,0.2,0)),0))/3,1)&gt;=F$2,CEILING($F$1*IF($Y$15*$AD$15&gt;=$I$1,1,IF($Y$15*$AD$15&gt;=$H$1,0.5,0))*(1+IF($N$15=$D$1,IF($Y$15*$AD$15&gt;=$K$1,0.4,IF($Y$15*$AD$15&gt;=$J$1,0.2,0)),0))*$B17*$D17*$E17^(F$2-1),0.1),0)</f>
        <v>15.8</v>
      </c>
      <c r="G17" s="28">
        <f t="shared" si="5"/>
        <v>10.5</v>
      </c>
      <c r="H17" s="28">
        <f t="shared" si="5"/>
        <v>7</v>
      </c>
      <c r="I17" s="28">
        <f t="shared" si="5"/>
        <v>4.7</v>
      </c>
      <c r="J17" s="28">
        <f t="shared" si="5"/>
        <v>0</v>
      </c>
      <c r="K17" s="28">
        <f t="shared" si="5"/>
        <v>0</v>
      </c>
      <c r="L17" s="28">
        <f t="shared" si="5"/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4"/>
        <v>0</v>
      </c>
      <c r="W17" s="28">
        <f t="shared" si="4"/>
        <v>0</v>
      </c>
      <c r="X17" s="28">
        <f t="shared" si="4"/>
        <v>0</v>
      </c>
      <c r="Y17" s="28">
        <f t="shared" si="4"/>
        <v>0</v>
      </c>
      <c r="Z17" s="28">
        <f t="shared" si="4"/>
        <v>0</v>
      </c>
      <c r="AA17" s="28">
        <f t="shared" si="4"/>
        <v>0</v>
      </c>
      <c r="AB17" s="28">
        <f t="shared" si="4"/>
        <v>0</v>
      </c>
      <c r="AC17" s="28">
        <f t="shared" si="4"/>
        <v>0</v>
      </c>
      <c r="AD17" s="28">
        <f t="shared" si="4"/>
        <v>0</v>
      </c>
      <c r="AE17" s="28">
        <f t="shared" si="4"/>
        <v>0</v>
      </c>
      <c r="AF17" s="28">
        <f t="shared" si="4"/>
        <v>0</v>
      </c>
      <c r="AG17" s="28">
        <f t="shared" si="4"/>
        <v>0</v>
      </c>
      <c r="AH17" s="28">
        <f t="shared" si="4"/>
        <v>0</v>
      </c>
      <c r="AI17" s="29">
        <f t="shared" si="4"/>
        <v>0</v>
      </c>
    </row>
    <row r="18" spans="1:35" ht="15" customHeight="1" x14ac:dyDescent="0.25">
      <c r="A18" s="58">
        <v>3</v>
      </c>
      <c r="B18" s="60">
        <v>0.95</v>
      </c>
      <c r="C18" s="16">
        <v>0</v>
      </c>
      <c r="D18" s="67">
        <f>CEILING(1+MIN(Y$15,T$15-C18-1)+MAX((T$15-C18-1-Y$15)/$M$1,0),1)</f>
        <v>10</v>
      </c>
      <c r="E18" s="63">
        <f>MAX(($G$1/($F$1*D18))^(1/(ROUNDUP(D18/3,)-1)),2/3)</f>
        <v>0.66666666666666663</v>
      </c>
      <c r="F18" s="28">
        <f t="shared" si="5"/>
        <v>14.3</v>
      </c>
      <c r="G18" s="28">
        <f t="shared" si="4"/>
        <v>9.5</v>
      </c>
      <c r="H18" s="28">
        <f t="shared" si="4"/>
        <v>6.4</v>
      </c>
      <c r="I18" s="28">
        <f t="shared" si="4"/>
        <v>4.3</v>
      </c>
      <c r="J18" s="28">
        <f t="shared" si="4"/>
        <v>0</v>
      </c>
      <c r="K18" s="28">
        <f t="shared" si="4"/>
        <v>0</v>
      </c>
      <c r="L18" s="28">
        <f t="shared" si="4"/>
        <v>0</v>
      </c>
      <c r="M18" s="28">
        <f t="shared" si="4"/>
        <v>0</v>
      </c>
      <c r="N18" s="28">
        <f t="shared" si="4"/>
        <v>0</v>
      </c>
      <c r="O18" s="28">
        <f t="shared" si="4"/>
        <v>0</v>
      </c>
      <c r="P18" s="28">
        <f t="shared" si="4"/>
        <v>0</v>
      </c>
      <c r="Q18" s="28">
        <f t="shared" si="4"/>
        <v>0</v>
      </c>
      <c r="R18" s="28">
        <f t="shared" si="4"/>
        <v>0</v>
      </c>
      <c r="S18" s="28">
        <f t="shared" si="4"/>
        <v>0</v>
      </c>
      <c r="T18" s="28">
        <f t="shared" si="4"/>
        <v>0</v>
      </c>
      <c r="U18" s="28">
        <f t="shared" si="4"/>
        <v>0</v>
      </c>
      <c r="V18" s="28">
        <f t="shared" si="4"/>
        <v>0</v>
      </c>
      <c r="W18" s="28">
        <f t="shared" si="4"/>
        <v>0</v>
      </c>
      <c r="X18" s="28">
        <f t="shared" si="4"/>
        <v>0</v>
      </c>
      <c r="Y18" s="28">
        <f t="shared" si="4"/>
        <v>0</v>
      </c>
      <c r="Z18" s="28">
        <f t="shared" si="4"/>
        <v>0</v>
      </c>
      <c r="AA18" s="28">
        <f t="shared" si="4"/>
        <v>0</v>
      </c>
      <c r="AB18" s="28">
        <f t="shared" si="4"/>
        <v>0</v>
      </c>
      <c r="AC18" s="28">
        <f t="shared" si="4"/>
        <v>0</v>
      </c>
      <c r="AD18" s="28">
        <f t="shared" si="4"/>
        <v>0</v>
      </c>
      <c r="AE18" s="28">
        <f t="shared" si="4"/>
        <v>0</v>
      </c>
      <c r="AF18" s="28">
        <f t="shared" si="4"/>
        <v>0</v>
      </c>
      <c r="AG18" s="28">
        <f t="shared" si="4"/>
        <v>0</v>
      </c>
      <c r="AH18" s="28">
        <f t="shared" si="4"/>
        <v>0</v>
      </c>
      <c r="AI18" s="29">
        <f t="shared" si="4"/>
        <v>0</v>
      </c>
    </row>
    <row r="19" spans="1:35" ht="15" customHeight="1" x14ac:dyDescent="0.25">
      <c r="A19" s="58">
        <v>4</v>
      </c>
      <c r="B19" s="60">
        <v>0.85</v>
      </c>
      <c r="C19" s="16">
        <v>0</v>
      </c>
      <c r="D19" s="67">
        <f>CEILING(1+MIN(Y$15,T$15-C19-1)+MAX((T$15-C19-1-Y$15)/$M$1,0),1)</f>
        <v>10</v>
      </c>
      <c r="E19" s="63">
        <f>MAX(($G$1/($F$1*D19))^(1/(ROUNDUP(D19/3,)-1)),2/3)</f>
        <v>0.66666666666666663</v>
      </c>
      <c r="F19" s="28">
        <f t="shared" si="5"/>
        <v>12.8</v>
      </c>
      <c r="G19" s="28">
        <f t="shared" si="4"/>
        <v>8.5</v>
      </c>
      <c r="H19" s="28">
        <f t="shared" si="4"/>
        <v>5.7</v>
      </c>
      <c r="I19" s="28">
        <f t="shared" si="4"/>
        <v>0</v>
      </c>
      <c r="J19" s="28">
        <f t="shared" si="4"/>
        <v>0</v>
      </c>
      <c r="K19" s="28">
        <f t="shared" si="4"/>
        <v>0</v>
      </c>
      <c r="L19" s="28">
        <f t="shared" si="4"/>
        <v>0</v>
      </c>
      <c r="M19" s="28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8">
        <f t="shared" si="4"/>
        <v>0</v>
      </c>
      <c r="T19" s="28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8">
        <f t="shared" si="4"/>
        <v>0</v>
      </c>
      <c r="AA19" s="28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8">
        <f t="shared" si="4"/>
        <v>0</v>
      </c>
      <c r="AH19" s="28">
        <f t="shared" si="4"/>
        <v>0</v>
      </c>
      <c r="AI19" s="29">
        <f t="shared" si="4"/>
        <v>0</v>
      </c>
    </row>
    <row r="20" spans="1:35" ht="15" customHeight="1" x14ac:dyDescent="0.25">
      <c r="A20" s="58"/>
      <c r="B20" s="60"/>
      <c r="C20" s="6"/>
      <c r="D20" s="68"/>
      <c r="E20" s="64"/>
      <c r="F20" s="3"/>
      <c r="G20" s="3"/>
      <c r="H20" s="3"/>
      <c r="I20" s="3"/>
      <c r="J20" s="8"/>
      <c r="K20" s="8"/>
      <c r="L20" s="8"/>
      <c r="M20" s="8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4"/>
    </row>
    <row r="21" spans="1:35" ht="15" customHeight="1" x14ac:dyDescent="0.25">
      <c r="A21" s="58"/>
      <c r="B21" s="60"/>
      <c r="C21" s="6"/>
      <c r="D21" s="68"/>
      <c r="E21" s="64"/>
      <c r="F21" s="125" t="s">
        <v>11</v>
      </c>
      <c r="G21" s="112"/>
      <c r="H21" s="112"/>
      <c r="I21" s="25">
        <v>5</v>
      </c>
      <c r="J21" s="113" t="s">
        <v>3</v>
      </c>
      <c r="K21" s="113"/>
      <c r="L21" s="113"/>
      <c r="M21" s="113"/>
      <c r="N21" s="118" t="s">
        <v>5</v>
      </c>
      <c r="O21" s="118"/>
      <c r="P21" s="116" t="s">
        <v>1</v>
      </c>
      <c r="Q21" s="116"/>
      <c r="R21" s="116"/>
      <c r="S21" s="116"/>
      <c r="T21" s="15">
        <v>10</v>
      </c>
      <c r="U21" s="115" t="s">
        <v>2</v>
      </c>
      <c r="V21" s="115"/>
      <c r="W21" s="115"/>
      <c r="X21" s="115"/>
      <c r="Y21" s="31">
        <v>9</v>
      </c>
      <c r="Z21" s="115" t="s">
        <v>4</v>
      </c>
      <c r="AA21" s="115"/>
      <c r="AB21" s="115"/>
      <c r="AC21" s="115"/>
      <c r="AD21" s="15">
        <v>5</v>
      </c>
      <c r="AE21" s="26"/>
      <c r="AF21" s="26"/>
      <c r="AG21" s="26"/>
      <c r="AH21" s="26"/>
      <c r="AI21" s="27"/>
    </row>
    <row r="22" spans="1:35" ht="15" customHeight="1" x14ac:dyDescent="0.25">
      <c r="A22" s="58">
        <v>1</v>
      </c>
      <c r="B22" s="60">
        <v>1.2</v>
      </c>
      <c r="C22" s="16">
        <v>0</v>
      </c>
      <c r="D22" s="67">
        <f>CEILING(1+MIN(Y$21,T$21-C22-1)+MAX((T$21-C22-1-Y$21)/$M$1,0),1)</f>
        <v>10</v>
      </c>
      <c r="E22" s="63">
        <f>MAX(($G$1/($F$1*D22))^(1/(ROUNDUP(D22/3,)-1)),2/3)</f>
        <v>0.66666666666666663</v>
      </c>
      <c r="F22" s="28">
        <f>IF(CEILING($B22*$D22*(1+IF($N$21=$D$1,IF($Y$21*$AD$21&gt;=$K$1,0.4,IF($Y$21*$AD$21&gt;=$J$1,0.2,0)),0))/3,1)&gt;=F$2,CEILING($F$1*IF($Y$21*$AD$21&gt;=$I$1,1,IF($Y$21*$AD$21&gt;=$H$1,0.5,0))*(1+IF($N$21=$D$1,IF($Y$21*$AD$21&gt;=$K$1,0.4,IF($Y$21*$AD$21&gt;=$J$1,0.2,0)),0))*$B22*$D22*$E22^(F$2-1),0.1),0)</f>
        <v>18</v>
      </c>
      <c r="G22" s="28">
        <f t="shared" ref="G22:AI26" si="6">IF(CEILING($B22*$D22*(1+IF($N$21=$D$1,IF($Y$21*$AD$21&gt;=$K$1,0.4,IF($Y$21*$AD$21&gt;=$J$1,0.2,0)),0))/3,1)&gt;=G$2,CEILING($F$1*IF($Y$21*$AD$21&gt;=$I$1,1,IF($Y$21*$AD$21&gt;=$H$1,0.5,0))*(1+IF($N$21=$D$1,IF($Y$21*$AD$21&gt;=$K$1,0.4,IF($Y$21*$AD$21&gt;=$J$1,0.2,0)),0))*$B22*$D22*$E22^(G$2-1),0.1),0)</f>
        <v>12</v>
      </c>
      <c r="H22" s="28">
        <f t="shared" si="6"/>
        <v>8</v>
      </c>
      <c r="I22" s="28">
        <f t="shared" si="6"/>
        <v>5.4</v>
      </c>
      <c r="J22" s="28">
        <f t="shared" si="6"/>
        <v>0</v>
      </c>
      <c r="K22" s="28">
        <f t="shared" si="6"/>
        <v>0</v>
      </c>
      <c r="L22" s="28">
        <f t="shared" si="6"/>
        <v>0</v>
      </c>
      <c r="M22" s="28">
        <f t="shared" si="6"/>
        <v>0</v>
      </c>
      <c r="N22" s="28">
        <f t="shared" si="6"/>
        <v>0</v>
      </c>
      <c r="O22" s="28">
        <f t="shared" si="6"/>
        <v>0</v>
      </c>
      <c r="P22" s="28">
        <f t="shared" si="6"/>
        <v>0</v>
      </c>
      <c r="Q22" s="28">
        <f t="shared" si="6"/>
        <v>0</v>
      </c>
      <c r="R22" s="28">
        <f t="shared" si="6"/>
        <v>0</v>
      </c>
      <c r="S22" s="28">
        <f t="shared" si="6"/>
        <v>0</v>
      </c>
      <c r="T22" s="28">
        <f t="shared" si="6"/>
        <v>0</v>
      </c>
      <c r="U22" s="28">
        <f t="shared" si="6"/>
        <v>0</v>
      </c>
      <c r="V22" s="28">
        <f t="shared" si="6"/>
        <v>0</v>
      </c>
      <c r="W22" s="28">
        <f t="shared" si="6"/>
        <v>0</v>
      </c>
      <c r="X22" s="28">
        <f t="shared" si="6"/>
        <v>0</v>
      </c>
      <c r="Y22" s="28">
        <f t="shared" si="6"/>
        <v>0</v>
      </c>
      <c r="Z22" s="28">
        <f t="shared" si="6"/>
        <v>0</v>
      </c>
      <c r="AA22" s="28">
        <f t="shared" si="6"/>
        <v>0</v>
      </c>
      <c r="AB22" s="28">
        <f t="shared" si="6"/>
        <v>0</v>
      </c>
      <c r="AC22" s="28">
        <f t="shared" si="6"/>
        <v>0</v>
      </c>
      <c r="AD22" s="28">
        <f t="shared" si="6"/>
        <v>0</v>
      </c>
      <c r="AE22" s="28">
        <f t="shared" si="6"/>
        <v>0</v>
      </c>
      <c r="AF22" s="28">
        <f t="shared" si="6"/>
        <v>0</v>
      </c>
      <c r="AG22" s="28">
        <f t="shared" si="6"/>
        <v>0</v>
      </c>
      <c r="AH22" s="28">
        <f t="shared" si="6"/>
        <v>0</v>
      </c>
      <c r="AI22" s="29">
        <f t="shared" si="6"/>
        <v>0</v>
      </c>
    </row>
    <row r="23" spans="1:35" ht="15" customHeight="1" x14ac:dyDescent="0.25">
      <c r="A23" s="58">
        <v>2</v>
      </c>
      <c r="B23" s="60">
        <v>1.1000000000000001</v>
      </c>
      <c r="C23" s="16">
        <v>0</v>
      </c>
      <c r="D23" s="67">
        <f>CEILING(1+MIN(Y$21,T$21-C23-1)+MAX((T$21-C23-1-Y$21)/$M$1,0),1)</f>
        <v>10</v>
      </c>
      <c r="E23" s="63">
        <f>MAX(($G$1/($F$1*D23))^(1/(ROUNDUP(D23/3,)-1)),2/3)</f>
        <v>0.66666666666666663</v>
      </c>
      <c r="F23" s="28">
        <f t="shared" ref="F23:U26" si="7">IF(CEILING($B23*$D23*(1+IF($N$21=$D$1,IF($Y$21*$AD$21&gt;=$K$1,0.4,IF($Y$21*$AD$21&gt;=$J$1,0.2,0)),0))/3,1)&gt;=F$2,CEILING($F$1*IF($Y$21*$AD$21&gt;=$I$1,1,IF($Y$21*$AD$21&gt;=$H$1,0.5,0))*(1+IF($N$21=$D$1,IF($Y$21*$AD$21&gt;=$K$1,0.4,IF($Y$21*$AD$21&gt;=$J$1,0.2,0)),0))*$B23*$D23*$E23^(F$2-1),0.1),0)</f>
        <v>16.5</v>
      </c>
      <c r="G23" s="28">
        <f t="shared" si="7"/>
        <v>11</v>
      </c>
      <c r="H23" s="28">
        <f t="shared" si="7"/>
        <v>7.4</v>
      </c>
      <c r="I23" s="28">
        <f t="shared" si="7"/>
        <v>4.9000000000000004</v>
      </c>
      <c r="J23" s="28">
        <f t="shared" si="7"/>
        <v>0</v>
      </c>
      <c r="K23" s="28">
        <f t="shared" si="7"/>
        <v>0</v>
      </c>
      <c r="L23" s="28">
        <f t="shared" si="7"/>
        <v>0</v>
      </c>
      <c r="M23" s="28">
        <f t="shared" si="7"/>
        <v>0</v>
      </c>
      <c r="N23" s="28">
        <f t="shared" si="7"/>
        <v>0</v>
      </c>
      <c r="O23" s="28">
        <f t="shared" si="7"/>
        <v>0</v>
      </c>
      <c r="P23" s="28">
        <f t="shared" si="7"/>
        <v>0</v>
      </c>
      <c r="Q23" s="28">
        <f t="shared" si="7"/>
        <v>0</v>
      </c>
      <c r="R23" s="28">
        <f t="shared" si="7"/>
        <v>0</v>
      </c>
      <c r="S23" s="28">
        <f t="shared" si="7"/>
        <v>0</v>
      </c>
      <c r="T23" s="28">
        <f t="shared" si="7"/>
        <v>0</v>
      </c>
      <c r="U23" s="28">
        <f t="shared" si="7"/>
        <v>0</v>
      </c>
      <c r="V23" s="28">
        <f t="shared" si="6"/>
        <v>0</v>
      </c>
      <c r="W23" s="28">
        <f t="shared" si="6"/>
        <v>0</v>
      </c>
      <c r="X23" s="28">
        <f t="shared" si="6"/>
        <v>0</v>
      </c>
      <c r="Y23" s="28">
        <f t="shared" si="6"/>
        <v>0</v>
      </c>
      <c r="Z23" s="28">
        <f t="shared" si="6"/>
        <v>0</v>
      </c>
      <c r="AA23" s="28">
        <f t="shared" si="6"/>
        <v>0</v>
      </c>
      <c r="AB23" s="28">
        <f t="shared" si="6"/>
        <v>0</v>
      </c>
      <c r="AC23" s="28">
        <f t="shared" si="6"/>
        <v>0</v>
      </c>
      <c r="AD23" s="28">
        <f t="shared" si="6"/>
        <v>0</v>
      </c>
      <c r="AE23" s="28">
        <f t="shared" si="6"/>
        <v>0</v>
      </c>
      <c r="AF23" s="28">
        <f t="shared" si="6"/>
        <v>0</v>
      </c>
      <c r="AG23" s="28">
        <f t="shared" si="6"/>
        <v>0</v>
      </c>
      <c r="AH23" s="28">
        <f t="shared" si="6"/>
        <v>0</v>
      </c>
      <c r="AI23" s="29">
        <f t="shared" si="6"/>
        <v>0</v>
      </c>
    </row>
    <row r="24" spans="1:35" ht="15" customHeight="1" x14ac:dyDescent="0.25">
      <c r="A24" s="58">
        <v>3</v>
      </c>
      <c r="B24" s="60">
        <v>1</v>
      </c>
      <c r="C24" s="16">
        <v>0</v>
      </c>
      <c r="D24" s="67">
        <f>CEILING(1+MIN(Y$21,T$21-C24-1)+MAX((T$21-C24-1-Y$21)/$M$1,0),1)</f>
        <v>10</v>
      </c>
      <c r="E24" s="63">
        <f>MAX(($G$1/($F$1*D24))^(1/(ROUNDUP(D24/3,)-1)),2/3)</f>
        <v>0.66666666666666663</v>
      </c>
      <c r="F24" s="28">
        <f t="shared" si="7"/>
        <v>15</v>
      </c>
      <c r="G24" s="28">
        <f t="shared" si="6"/>
        <v>10</v>
      </c>
      <c r="H24" s="28">
        <f t="shared" si="6"/>
        <v>6.7</v>
      </c>
      <c r="I24" s="28">
        <f t="shared" si="6"/>
        <v>4.5</v>
      </c>
      <c r="J24" s="28">
        <f t="shared" si="6"/>
        <v>0</v>
      </c>
      <c r="K24" s="28">
        <f t="shared" si="6"/>
        <v>0</v>
      </c>
      <c r="L24" s="28">
        <f t="shared" si="6"/>
        <v>0</v>
      </c>
      <c r="M24" s="28">
        <f t="shared" si="6"/>
        <v>0</v>
      </c>
      <c r="N24" s="28">
        <f t="shared" si="6"/>
        <v>0</v>
      </c>
      <c r="O24" s="28">
        <f t="shared" si="6"/>
        <v>0</v>
      </c>
      <c r="P24" s="28">
        <f t="shared" si="6"/>
        <v>0</v>
      </c>
      <c r="Q24" s="28">
        <f t="shared" si="6"/>
        <v>0</v>
      </c>
      <c r="R24" s="28">
        <f t="shared" si="6"/>
        <v>0</v>
      </c>
      <c r="S24" s="28">
        <f t="shared" si="6"/>
        <v>0</v>
      </c>
      <c r="T24" s="28">
        <f t="shared" si="6"/>
        <v>0</v>
      </c>
      <c r="U24" s="28">
        <f t="shared" si="6"/>
        <v>0</v>
      </c>
      <c r="V24" s="28">
        <f t="shared" si="6"/>
        <v>0</v>
      </c>
      <c r="W24" s="28">
        <f t="shared" si="6"/>
        <v>0</v>
      </c>
      <c r="X24" s="28">
        <f t="shared" si="6"/>
        <v>0</v>
      </c>
      <c r="Y24" s="28">
        <f t="shared" si="6"/>
        <v>0</v>
      </c>
      <c r="Z24" s="28">
        <f t="shared" si="6"/>
        <v>0</v>
      </c>
      <c r="AA24" s="28">
        <f t="shared" si="6"/>
        <v>0</v>
      </c>
      <c r="AB24" s="28">
        <f t="shared" si="6"/>
        <v>0</v>
      </c>
      <c r="AC24" s="28">
        <f t="shared" si="6"/>
        <v>0</v>
      </c>
      <c r="AD24" s="28">
        <f t="shared" si="6"/>
        <v>0</v>
      </c>
      <c r="AE24" s="28">
        <f t="shared" si="6"/>
        <v>0</v>
      </c>
      <c r="AF24" s="28">
        <f t="shared" si="6"/>
        <v>0</v>
      </c>
      <c r="AG24" s="28">
        <f t="shared" si="6"/>
        <v>0</v>
      </c>
      <c r="AH24" s="28">
        <f t="shared" si="6"/>
        <v>0</v>
      </c>
      <c r="AI24" s="29">
        <f t="shared" si="6"/>
        <v>0</v>
      </c>
    </row>
    <row r="25" spans="1:35" ht="15" customHeight="1" x14ac:dyDescent="0.25">
      <c r="A25" s="58">
        <v>4</v>
      </c>
      <c r="B25" s="60">
        <v>0.9</v>
      </c>
      <c r="C25" s="16">
        <v>0</v>
      </c>
      <c r="D25" s="67">
        <f>CEILING(1+MIN(Y$21,T$21-C25-1)+MAX((T$21-C25-1-Y$21)/$M$1,0),1)</f>
        <v>10</v>
      </c>
      <c r="E25" s="63">
        <f>MAX(($G$1/($F$1*D25))^(1/(ROUNDUP(D25/3,)-1)),2/3)</f>
        <v>0.66666666666666663</v>
      </c>
      <c r="F25" s="28">
        <f t="shared" si="7"/>
        <v>13.5</v>
      </c>
      <c r="G25" s="28">
        <f t="shared" si="6"/>
        <v>9</v>
      </c>
      <c r="H25" s="28">
        <f t="shared" si="6"/>
        <v>6</v>
      </c>
      <c r="I25" s="28">
        <f t="shared" si="6"/>
        <v>0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8">
        <f t="shared" si="6"/>
        <v>0</v>
      </c>
      <c r="Q25" s="28">
        <f t="shared" si="6"/>
        <v>0</v>
      </c>
      <c r="R25" s="28">
        <f t="shared" si="6"/>
        <v>0</v>
      </c>
      <c r="S25" s="28">
        <f t="shared" si="6"/>
        <v>0</v>
      </c>
      <c r="T25" s="28">
        <f t="shared" si="6"/>
        <v>0</v>
      </c>
      <c r="U25" s="28">
        <f t="shared" si="6"/>
        <v>0</v>
      </c>
      <c r="V25" s="28">
        <f t="shared" si="6"/>
        <v>0</v>
      </c>
      <c r="W25" s="28">
        <f t="shared" si="6"/>
        <v>0</v>
      </c>
      <c r="X25" s="28">
        <f t="shared" si="6"/>
        <v>0</v>
      </c>
      <c r="Y25" s="28">
        <f t="shared" si="6"/>
        <v>0</v>
      </c>
      <c r="Z25" s="28">
        <f t="shared" si="6"/>
        <v>0</v>
      </c>
      <c r="AA25" s="28">
        <f t="shared" si="6"/>
        <v>0</v>
      </c>
      <c r="AB25" s="28">
        <f t="shared" si="6"/>
        <v>0</v>
      </c>
      <c r="AC25" s="28">
        <f t="shared" si="6"/>
        <v>0</v>
      </c>
      <c r="AD25" s="28">
        <f t="shared" si="6"/>
        <v>0</v>
      </c>
      <c r="AE25" s="28">
        <f t="shared" si="6"/>
        <v>0</v>
      </c>
      <c r="AF25" s="28">
        <f t="shared" si="6"/>
        <v>0</v>
      </c>
      <c r="AG25" s="28">
        <f t="shared" si="6"/>
        <v>0</v>
      </c>
      <c r="AH25" s="28">
        <f t="shared" si="6"/>
        <v>0</v>
      </c>
      <c r="AI25" s="29">
        <f t="shared" si="6"/>
        <v>0</v>
      </c>
    </row>
    <row r="26" spans="1:35" ht="15" customHeight="1" x14ac:dyDescent="0.25">
      <c r="A26" s="59">
        <v>5</v>
      </c>
      <c r="B26" s="61">
        <v>0.8</v>
      </c>
      <c r="C26" s="17">
        <v>0</v>
      </c>
      <c r="D26" s="69">
        <f>CEILING(1+MIN(Y$21,T$21-C26-1)+MAX((T$21-C26-1-Y$21)/$M$1,0),1)</f>
        <v>10</v>
      </c>
      <c r="E26" s="65">
        <f>MAX(($G$1/($F$1*D26))^(1/(ROUNDUP(D26/3,)-1)),2/3)</f>
        <v>0.66666666666666663</v>
      </c>
      <c r="F26" s="28">
        <f t="shared" si="7"/>
        <v>12</v>
      </c>
      <c r="G26" s="28">
        <f t="shared" si="6"/>
        <v>8</v>
      </c>
      <c r="H26" s="28">
        <f t="shared" si="6"/>
        <v>5.4</v>
      </c>
      <c r="I26" s="28">
        <f t="shared" si="6"/>
        <v>0</v>
      </c>
      <c r="J26" s="28">
        <f t="shared" si="6"/>
        <v>0</v>
      </c>
      <c r="K26" s="28">
        <f t="shared" si="6"/>
        <v>0</v>
      </c>
      <c r="L26" s="28">
        <f t="shared" si="6"/>
        <v>0</v>
      </c>
      <c r="M26" s="28">
        <f t="shared" si="6"/>
        <v>0</v>
      </c>
      <c r="N26" s="28">
        <f t="shared" si="6"/>
        <v>0</v>
      </c>
      <c r="O26" s="28">
        <f t="shared" si="6"/>
        <v>0</v>
      </c>
      <c r="P26" s="28">
        <f t="shared" si="6"/>
        <v>0</v>
      </c>
      <c r="Q26" s="28">
        <f t="shared" si="6"/>
        <v>0</v>
      </c>
      <c r="R26" s="28">
        <f t="shared" si="6"/>
        <v>0</v>
      </c>
      <c r="S26" s="28">
        <f t="shared" si="6"/>
        <v>0</v>
      </c>
      <c r="T26" s="28">
        <f t="shared" si="6"/>
        <v>0</v>
      </c>
      <c r="U26" s="28">
        <f t="shared" si="6"/>
        <v>0</v>
      </c>
      <c r="V26" s="28">
        <f t="shared" si="6"/>
        <v>0</v>
      </c>
      <c r="W26" s="28">
        <f t="shared" si="6"/>
        <v>0</v>
      </c>
      <c r="X26" s="28">
        <f t="shared" si="6"/>
        <v>0</v>
      </c>
      <c r="Y26" s="28">
        <f t="shared" si="6"/>
        <v>0</v>
      </c>
      <c r="Z26" s="28">
        <f t="shared" si="6"/>
        <v>0</v>
      </c>
      <c r="AA26" s="28">
        <f t="shared" si="6"/>
        <v>0</v>
      </c>
      <c r="AB26" s="28">
        <f t="shared" si="6"/>
        <v>0</v>
      </c>
      <c r="AC26" s="28">
        <f t="shared" si="6"/>
        <v>0</v>
      </c>
      <c r="AD26" s="28">
        <f t="shared" si="6"/>
        <v>0</v>
      </c>
      <c r="AE26" s="28">
        <f t="shared" si="6"/>
        <v>0</v>
      </c>
      <c r="AF26" s="28">
        <f t="shared" si="6"/>
        <v>0</v>
      </c>
      <c r="AG26" s="28">
        <f t="shared" si="6"/>
        <v>0</v>
      </c>
      <c r="AH26" s="28">
        <f t="shared" si="6"/>
        <v>0</v>
      </c>
      <c r="AI26" s="29">
        <f t="shared" si="6"/>
        <v>0</v>
      </c>
    </row>
    <row r="27" spans="1:35" ht="15" customHeight="1" x14ac:dyDescent="0.25">
      <c r="A27" s="12"/>
      <c r="B27" s="9"/>
      <c r="C27" s="9"/>
      <c r="D27" s="9"/>
      <c r="E27" s="9"/>
      <c r="F27" s="9"/>
      <c r="G27" s="9"/>
      <c r="H27" s="9"/>
      <c r="I27" s="9"/>
      <c r="J27" s="10"/>
      <c r="K27" s="10"/>
      <c r="L27" s="10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1"/>
    </row>
    <row r="28" spans="1:35" ht="15" customHeight="1" x14ac:dyDescent="0.25">
      <c r="A28" s="14" t="s">
        <v>14</v>
      </c>
    </row>
    <row r="29" spans="1:35" ht="15" customHeight="1" x14ac:dyDescent="0.25">
      <c r="C29" s="119" t="s">
        <v>15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</row>
    <row r="30" spans="1:35" ht="15" customHeight="1" x14ac:dyDescent="0.25">
      <c r="C30" s="104" t="s">
        <v>16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</row>
    <row r="31" spans="1:35" ht="15" customHeight="1" x14ac:dyDescent="0.25">
      <c r="C31" s="104" t="s">
        <v>20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</row>
    <row r="32" spans="1:35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51" spans="1:4" x14ac:dyDescent="0.25">
      <c r="A51" s="1"/>
      <c r="B51" s="1"/>
      <c r="D51" s="14"/>
    </row>
    <row r="52" spans="1:4" x14ac:dyDescent="0.25">
      <c r="C52" s="2"/>
      <c r="D52" s="14"/>
    </row>
  </sheetData>
  <sheetProtection password="C4EE" sheet="1" objects="1" scenarios="1"/>
  <mergeCells count="38">
    <mergeCell ref="C29:AH29"/>
    <mergeCell ref="C30:AH30"/>
    <mergeCell ref="C31:AH31"/>
    <mergeCell ref="N1:X1"/>
    <mergeCell ref="F21:H21"/>
    <mergeCell ref="J21:M21"/>
    <mergeCell ref="N21:O21"/>
    <mergeCell ref="P21:S21"/>
    <mergeCell ref="U21:X21"/>
    <mergeCell ref="Z21:AC21"/>
    <mergeCell ref="F15:H15"/>
    <mergeCell ref="J15:M15"/>
    <mergeCell ref="N15:O15"/>
    <mergeCell ref="P15:S15"/>
    <mergeCell ref="U15:X15"/>
    <mergeCell ref="Z15:AC15"/>
    <mergeCell ref="U3:X3"/>
    <mergeCell ref="F10:H10"/>
    <mergeCell ref="J10:M10"/>
    <mergeCell ref="N10:O10"/>
    <mergeCell ref="P10:S10"/>
    <mergeCell ref="U10:X10"/>
    <mergeCell ref="C32:AH32"/>
    <mergeCell ref="A2:B2"/>
    <mergeCell ref="A3:B3"/>
    <mergeCell ref="C2:D2"/>
    <mergeCell ref="F3:H3"/>
    <mergeCell ref="J3:M3"/>
    <mergeCell ref="N3:O3"/>
    <mergeCell ref="P3:S3"/>
    <mergeCell ref="Z10:AC10"/>
    <mergeCell ref="Z3:AC3"/>
    <mergeCell ref="F6:H6"/>
    <mergeCell ref="J6:M6"/>
    <mergeCell ref="N6:O6"/>
    <mergeCell ref="P6:S6"/>
    <mergeCell ref="U6:X6"/>
    <mergeCell ref="Z6:AC6"/>
  </mergeCells>
  <conditionalFormatting sqref="F4:AI4">
    <cfRule type="cellIs" dxfId="24" priority="6" operator="equal">
      <formula>0</formula>
    </cfRule>
  </conditionalFormatting>
  <conditionalFormatting sqref="F7:AI8">
    <cfRule type="cellIs" dxfId="23" priority="5" operator="equal">
      <formula>0</formula>
    </cfRule>
  </conditionalFormatting>
  <conditionalFormatting sqref="F11:AI13">
    <cfRule type="cellIs" dxfId="22" priority="4" operator="equal">
      <formula>0</formula>
    </cfRule>
  </conditionalFormatting>
  <conditionalFormatting sqref="F16:AI19">
    <cfRule type="cellIs" dxfId="21" priority="3" operator="equal">
      <formula>0</formula>
    </cfRule>
  </conditionalFormatting>
  <conditionalFormatting sqref="F22:AI26">
    <cfRule type="cellIs" dxfId="20" priority="2" operator="equal">
      <formula>0</formula>
    </cfRule>
  </conditionalFormatting>
  <dataValidations count="6">
    <dataValidation allowBlank="1" showInputMessage="1" showErrorMessage="1" promptTitle="Q-værdi" prompt="Andelen af MP for den næste af to placeringer." sqref="E4 E7:E8 E11:E13 E16:E19 E22:E26"/>
    <dataValidation type="whole" operator="greaterThan" allowBlank="1" showInputMessage="1" showErrorMessage="1" errorTitle="Fejl" error="Kun postive heltal" sqref="Y21 AD10 Y15 AD3 Y10 AD21 Y6 AD15 AD6 Y3">
      <formula1>0</formula1>
    </dataValidation>
    <dataValidation allowBlank="1" showInputMessage="1" showErrorMessage="1" promptTitle="&quot;dnul&quot;" prompt="Det beregnede antal deltagere" sqref="D4 D7:D8 D11:D13 D16:D19 D22:D26"/>
    <dataValidation type="whole" operator="greaterThanOrEqual" allowBlank="1" showInputMessage="1" showErrorMessage="1" errorTitle="Fejl" error="Kun postive heltal" promptTitle="Minimum" prompt="Mindst 4 deltagere" sqref="T3 T6 T10 T15 T21">
      <formula1>4</formula1>
    </dataValidation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type="list" showInputMessage="1" showErrorMessage="1" errorTitle="Arrangør" error="Enten Klub eller Distrikt" promptTitle="Arrangør" prompt="Kun distrikter (ikke klubber) kan lægge 20% eller 40% til." sqref="N3:O3 N21:O21 N15:O15 N10:O10 N6:O6">
      <formula1>$C$1:$D$1</formula1>
    </dataValidation>
  </dataValidations>
  <printOptions horizontalCentered="1"/>
  <pageMargins left="0.31496062992125984" right="0.31496062992125984" top="1.7322834645669292" bottom="0.74803149606299213" header="0.31496062992125984" footer="0.31496062992125984"/>
  <pageSetup paperSize="9" scale="87" orientation="landscape" horizontalDpi="4294967295" verticalDpi="4294967295" r:id="rId1"/>
  <headerFooter>
    <oddHeader>&amp;L&amp;G&amp;C&amp;20Sølvpoint i miniholdturneringer&amp;RVersion 1.0</oddHeader>
    <oddFooter>&amp;CUdskrevet: &amp;D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zoomScaleNormal="100" workbookViewId="0">
      <selection activeCell="N3" sqref="N3:O3"/>
    </sheetView>
  </sheetViews>
  <sheetFormatPr defaultRowHeight="15" x14ac:dyDescent="0.25"/>
  <cols>
    <col min="1" max="1" width="2.28515625" style="14" customWidth="1"/>
    <col min="2" max="2" width="5.28515625" style="57" customWidth="1"/>
    <col min="3" max="3" width="5.7109375" style="1" customWidth="1"/>
    <col min="4" max="4" width="4.7109375" style="13" customWidth="1"/>
    <col min="5" max="5" width="9.140625" style="14" customWidth="1"/>
    <col min="6" max="7" width="5.7109375" style="33" customWidth="1"/>
    <col min="8" max="13" width="4.7109375" style="33" customWidth="1"/>
    <col min="14" max="35" width="4.28515625" style="33" customWidth="1"/>
    <col min="36" max="16384" width="9.140625" style="14"/>
  </cols>
  <sheetData>
    <row r="1" spans="1:35" x14ac:dyDescent="0.25">
      <c r="A1" s="20">
        <v>0</v>
      </c>
      <c r="B1" s="20">
        <v>1</v>
      </c>
      <c r="C1" s="18" t="s">
        <v>5</v>
      </c>
      <c r="D1" s="19" t="s">
        <v>23</v>
      </c>
      <c r="E1" s="21" t="s">
        <v>23</v>
      </c>
      <c r="F1" s="52">
        <v>0.15</v>
      </c>
      <c r="G1" s="52">
        <v>0.01</v>
      </c>
      <c r="H1" s="53">
        <v>54</v>
      </c>
      <c r="I1" s="53">
        <v>54</v>
      </c>
      <c r="J1" s="53">
        <v>100</v>
      </c>
      <c r="K1" s="53">
        <v>150</v>
      </c>
      <c r="L1" s="53">
        <v>0</v>
      </c>
      <c r="M1" s="53">
        <v>2</v>
      </c>
      <c r="N1" s="142" t="s">
        <v>26</v>
      </c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2" spans="1:35" x14ac:dyDescent="0.25">
      <c r="A2" s="105" t="s">
        <v>8</v>
      </c>
      <c r="B2" s="106"/>
      <c r="C2" s="110" t="s">
        <v>9</v>
      </c>
      <c r="D2" s="111"/>
      <c r="E2" s="22" t="s">
        <v>25</v>
      </c>
      <c r="F2" s="34">
        <v>1</v>
      </c>
      <c r="G2" s="34">
        <v>2</v>
      </c>
      <c r="H2" s="34">
        <v>3</v>
      </c>
      <c r="I2" s="34">
        <v>4</v>
      </c>
      <c r="J2" s="34">
        <v>5</v>
      </c>
      <c r="K2" s="34">
        <v>6</v>
      </c>
      <c r="L2" s="34">
        <v>7</v>
      </c>
      <c r="M2" s="34">
        <v>8</v>
      </c>
      <c r="N2" s="34">
        <v>9</v>
      </c>
      <c r="O2" s="34">
        <v>10</v>
      </c>
      <c r="P2" s="34">
        <v>11</v>
      </c>
      <c r="Q2" s="34">
        <v>12</v>
      </c>
      <c r="R2" s="34">
        <v>13</v>
      </c>
      <c r="S2" s="34">
        <v>14</v>
      </c>
      <c r="T2" s="34">
        <v>15</v>
      </c>
      <c r="U2" s="34">
        <v>16</v>
      </c>
      <c r="V2" s="34">
        <v>17</v>
      </c>
      <c r="W2" s="34">
        <v>18</v>
      </c>
      <c r="X2" s="34">
        <v>19</v>
      </c>
      <c r="Y2" s="34">
        <v>20</v>
      </c>
      <c r="Z2" s="34">
        <v>21</v>
      </c>
      <c r="AA2" s="34">
        <v>22</v>
      </c>
      <c r="AB2" s="34">
        <v>23</v>
      </c>
      <c r="AC2" s="34">
        <v>24</v>
      </c>
      <c r="AD2" s="34">
        <v>25</v>
      </c>
      <c r="AE2" s="34">
        <v>26</v>
      </c>
      <c r="AF2" s="34">
        <v>27</v>
      </c>
      <c r="AG2" s="34">
        <v>28</v>
      </c>
      <c r="AH2" s="34">
        <v>29</v>
      </c>
      <c r="AI2" s="35">
        <v>30</v>
      </c>
    </row>
    <row r="3" spans="1:35" x14ac:dyDescent="0.25">
      <c r="A3" s="107" t="s">
        <v>7</v>
      </c>
      <c r="B3" s="108"/>
      <c r="C3" s="5" t="s">
        <v>10</v>
      </c>
      <c r="D3" s="7" t="s">
        <v>33</v>
      </c>
      <c r="E3" s="62" t="s">
        <v>12</v>
      </c>
      <c r="F3" s="127" t="s">
        <v>11</v>
      </c>
      <c r="G3" s="128"/>
      <c r="H3" s="128"/>
      <c r="I3" s="36">
        <v>1</v>
      </c>
      <c r="J3" s="129" t="s">
        <v>3</v>
      </c>
      <c r="K3" s="129"/>
      <c r="L3" s="129"/>
      <c r="M3" s="129"/>
      <c r="N3" s="130" t="s">
        <v>5</v>
      </c>
      <c r="O3" s="130"/>
      <c r="P3" s="131" t="s">
        <v>1</v>
      </c>
      <c r="Q3" s="131"/>
      <c r="R3" s="131"/>
      <c r="S3" s="131"/>
      <c r="T3" s="15">
        <v>10</v>
      </c>
      <c r="U3" s="131" t="s">
        <v>2</v>
      </c>
      <c r="V3" s="131"/>
      <c r="W3" s="131"/>
      <c r="X3" s="131"/>
      <c r="Y3" s="15">
        <v>9</v>
      </c>
      <c r="Z3" s="131" t="s">
        <v>4</v>
      </c>
      <c r="AA3" s="131"/>
      <c r="AB3" s="131"/>
      <c r="AC3" s="131"/>
      <c r="AD3" s="15">
        <v>6</v>
      </c>
      <c r="AE3" s="37"/>
      <c r="AF3" s="37"/>
      <c r="AG3" s="37"/>
      <c r="AH3" s="37"/>
      <c r="AI3" s="38"/>
    </row>
    <row r="4" spans="1:35" x14ac:dyDescent="0.25">
      <c r="A4" s="58">
        <v>1</v>
      </c>
      <c r="B4" s="60">
        <v>1</v>
      </c>
      <c r="C4" s="16">
        <v>0</v>
      </c>
      <c r="D4" s="67">
        <f>CEILING(1+MIN(Y$3,T$3-C4-1)+MAX((T$3-C4-1-Y$3)/$M$1,0),1)</f>
        <v>10</v>
      </c>
      <c r="E4" s="63">
        <f>MAX(($G$1/($F$1*D4))^(1/(ROUNDUP(D4/3,)-1)),2/3)</f>
        <v>0.66666666666666663</v>
      </c>
      <c r="F4" s="39">
        <f>IF(CEILING($B4*$D4/3,1)&gt;=F$2,CEILING($F$1*IF($Y$3*$AD$3&gt;=$I$1,1,IF($Y$3*$AD$3&gt;=$H$1,0.5,0))*(1+IF($N$3=$D$1,IF($Y$3*$AD$3&gt;=$K$1,0,IF($Y$3*$AD$3&gt;=$J$1,0,0)),0))*$B4*$D4*$E4^(F$2-1),0.01),0)</f>
        <v>1.5</v>
      </c>
      <c r="G4" s="39">
        <f>IF(CEILING($B4*$D4/3,1)&gt;=G$2,CEILING($F$1*IF($Y$3*$AD$3&gt;=$I$1,1,IF($Y$3*$AD$3&gt;=$H$1,0.5,0))*(1+IF($N$3=$D$1,IF($Y$3*$AD$3&gt;=$K$1,0,IF($Y$3*$AD$3&gt;=$J$1,0,0)),0))*$B4*$D4*$E4^(G$2-1),0.01),0)</f>
        <v>1</v>
      </c>
      <c r="H4" s="39">
        <f>IF(CEILING($B4*$D4/3,1)&gt;=H$2,CEILING($F$1*IF($Y$3*$AD$3&gt;=$I$1,1,IF($Y$3*$AD$3&gt;=$H$1,0.5,0))*(1+IF($N$3=$D$1,IF($Y$3*$AD$3&gt;=$K$1,0,IF($Y$3*$AD$3&gt;=$J$1,0,0)),0))*$B4*$D4*$E4^(H$2-1),0.01),0)</f>
        <v>0.67</v>
      </c>
      <c r="I4" s="39">
        <f>IF(CEILING($B4*$D4/3,1)&gt;=I$2,CEILING($F$1*IF($Y$3*$AD$3&gt;=$I$1,1,IF($Y$3*$AD$3&gt;=$H$1,0.5,0))*(1+IF($N$3=$D$1,IF($Y$3*$AD$3&gt;=$K$1,0,IF($Y$3*$AD$3&gt;=$J$1,0,0)),0))*$B4*$D4*$E4^(I$2-1),0.01),0)</f>
        <v>0.45</v>
      </c>
      <c r="J4" s="39">
        <f>IF(CEILING($B4*$D4/3,1)&gt;=J$2,CEILING($F$1*IF($Y$3*$AD$3&gt;=$I$1,1,IF($Y$3*$AD$3&gt;=$H$1,0.5,0))*(1+IF($N$3=$D$1,IF($Y$3*$AD$3&gt;=$K$1,0,IF($Y$3*$AD$3&gt;=$J$1,0,0)),0))*$B4*$D4*$E4^(J$2-1),0.01),0)</f>
        <v>0</v>
      </c>
      <c r="K4" s="39">
        <f>IF(CEILING($B4*$D4/3,1)&gt;=K$2,CEILING($F$1*IF($Y$3*$AD$3&gt;=$I$1,1,IF($Y$3*$AD$3&gt;=$H$1,0.5,0))*(1+IF($N$3=$D$1,IF($Y$3*$AD$3&gt;=$K$1,0,IF($Y$3*$AD$3&gt;=$J$1,0,0)),0))*$B4*$D4*$E4^(K$2-1),0.01),0)</f>
        <v>0</v>
      </c>
      <c r="L4" s="39">
        <f>IF(CEILING($B4*$D4/3,1)&gt;=L$2,CEILING($F$1*IF($Y$3*$AD$3&gt;=$I$1,1,IF($Y$3*$AD$3&gt;=$H$1,0.5,0))*(1+IF($N$3=$D$1,IF($Y$3*$AD$3&gt;=$K$1,0,IF($Y$3*$AD$3&gt;=$J$1,0,0)),0))*$B4*$D4*$E4^(L$2-1),0.01),0)</f>
        <v>0</v>
      </c>
      <c r="M4" s="39">
        <f>IF(CEILING($B4*$D4/3,1)&gt;=M$2,CEILING($F$1*IF($Y$3*$AD$3&gt;=$I$1,1,IF($Y$3*$AD$3&gt;=$H$1,0.5,0))*(1+IF($N$3=$D$1,IF($Y$3*$AD$3&gt;=$K$1,0,IF($Y$3*$AD$3&gt;=$J$1,0,0)),0))*$B4*$D4*$E4^(M$2-1),0.01),0)</f>
        <v>0</v>
      </c>
      <c r="N4" s="39">
        <f>IF(CEILING($B4*$D4/3,1)&gt;=N$2,CEILING($F$1*IF($Y$3*$AD$3&gt;=$I$1,1,IF($Y$3*$AD$3&gt;=$H$1,0.5,0))*(1+IF($N$3=$D$1,IF($Y$3*$AD$3&gt;=$K$1,0,IF($Y$3*$AD$3&gt;=$J$1,0,0)),0))*$B4*$D4*$E4^(N$2-1),0.01),0)</f>
        <v>0</v>
      </c>
      <c r="O4" s="39">
        <f>IF(CEILING($B4*$D4/3,1)&gt;=O$2,CEILING($F$1*IF($Y$3*$AD$3&gt;=$I$1,1,IF($Y$3*$AD$3&gt;=$H$1,0.5,0))*(1+IF($N$3=$D$1,IF($Y$3*$AD$3&gt;=$K$1,0,IF($Y$3*$AD$3&gt;=$J$1,0,0)),0))*$B4*$D4*$E4^(O$2-1),0.01),0)</f>
        <v>0</v>
      </c>
      <c r="P4" s="39">
        <f>IF(CEILING($B4*$D4/3,1)&gt;=P$2,CEILING($F$1*IF($Y$3*$AD$3&gt;=$I$1,1,IF($Y$3*$AD$3&gt;=$H$1,0.5,0))*(1+IF($N$3=$D$1,IF($Y$3*$AD$3&gt;=$K$1,0,IF($Y$3*$AD$3&gt;=$J$1,0,0)),0))*$B4*$D4*$E4^(P$2-1),0.01),0)</f>
        <v>0</v>
      </c>
      <c r="Q4" s="39">
        <f>IF(CEILING($B4*$D4/3,1)&gt;=Q$2,CEILING($F$1*IF($Y$3*$AD$3&gt;=$I$1,1,IF($Y$3*$AD$3&gt;=$H$1,0.5,0))*(1+IF($N$3=$D$1,IF($Y$3*$AD$3&gt;=$K$1,0,IF($Y$3*$AD$3&gt;=$J$1,0,0)),0))*$B4*$D4*$E4^(Q$2-1),0.01),0)</f>
        <v>0</v>
      </c>
      <c r="R4" s="39">
        <f>IF(CEILING($B4*$D4/3,1)&gt;=R$2,CEILING($F$1*IF($Y$3*$AD$3&gt;=$I$1,1,IF($Y$3*$AD$3&gt;=$H$1,0.5,0))*(1+IF($N$3=$D$1,IF($Y$3*$AD$3&gt;=$K$1,0,IF($Y$3*$AD$3&gt;=$J$1,0,0)),0))*$B4*$D4*$E4^(R$2-1),0.01),0)</f>
        <v>0</v>
      </c>
      <c r="S4" s="39">
        <f>IF(CEILING($B4*$D4/3,1)&gt;=S$2,CEILING($F$1*IF($Y$3*$AD$3&gt;=$I$1,1,IF($Y$3*$AD$3&gt;=$H$1,0.5,0))*(1+IF($N$3=$D$1,IF($Y$3*$AD$3&gt;=$K$1,0,IF($Y$3*$AD$3&gt;=$J$1,0,0)),0))*$B4*$D4*$E4^(S$2-1),0.01),0)</f>
        <v>0</v>
      </c>
      <c r="T4" s="39">
        <f>IF(CEILING($B4*$D4/3,1)&gt;=T$2,CEILING($F$1*IF($Y$3*$AD$3&gt;=$I$1,1,IF($Y$3*$AD$3&gt;=$H$1,0.5,0))*(1+IF($N$3=$D$1,IF($Y$3*$AD$3&gt;=$K$1,0,IF($Y$3*$AD$3&gt;=$J$1,0,0)),0))*$B4*$D4*$E4^(T$2-1),0.01),0)</f>
        <v>0</v>
      </c>
      <c r="U4" s="39">
        <f>IF(CEILING($B4*$D4/3,1)&gt;=U$2,CEILING($F$1*IF($Y$3*$AD$3&gt;=$I$1,1,IF($Y$3*$AD$3&gt;=$H$1,0.5,0))*(1+IF($N$3=$D$1,IF($Y$3*$AD$3&gt;=$K$1,0,IF($Y$3*$AD$3&gt;=$J$1,0,0)),0))*$B4*$D4*$E4^(U$2-1),0.01),0)</f>
        <v>0</v>
      </c>
      <c r="V4" s="39">
        <f>IF(CEILING($B4*$D4/3,1)&gt;=V$2,CEILING($F$1*IF($Y$3*$AD$3&gt;=$I$1,1,IF($Y$3*$AD$3&gt;=$H$1,0.5,0))*(1+IF($N$3=$D$1,IF($Y$3*$AD$3&gt;=$K$1,0,IF($Y$3*$AD$3&gt;=$J$1,0,0)),0))*$B4*$D4*$E4^(V$2-1),0.01),0)</f>
        <v>0</v>
      </c>
      <c r="W4" s="39">
        <f>IF(CEILING($B4*$D4/3,1)&gt;=W$2,CEILING($F$1*IF($Y$3*$AD$3&gt;=$I$1,1,IF($Y$3*$AD$3&gt;=$H$1,0.5,0))*(1+IF($N$3=$D$1,IF($Y$3*$AD$3&gt;=$K$1,0,IF($Y$3*$AD$3&gt;=$J$1,0,0)),0))*$B4*$D4*$E4^(W$2-1),0.01),0)</f>
        <v>0</v>
      </c>
      <c r="X4" s="39">
        <f>IF(CEILING($B4*$D4/3,1)&gt;=X$2,CEILING($F$1*IF($Y$3*$AD$3&gt;=$I$1,1,IF($Y$3*$AD$3&gt;=$H$1,0.5,0))*(1+IF($N$3=$D$1,IF($Y$3*$AD$3&gt;=$K$1,0,IF($Y$3*$AD$3&gt;=$J$1,0,0)),0))*$B4*$D4*$E4^(X$2-1),0.01),0)</f>
        <v>0</v>
      </c>
      <c r="Y4" s="39">
        <f>IF(CEILING($B4*$D4/3,1)&gt;=Y$2,CEILING($F$1*IF($Y$3*$AD$3&gt;=$I$1,1,IF($Y$3*$AD$3&gt;=$H$1,0.5,0))*(1+IF($N$3=$D$1,IF($Y$3*$AD$3&gt;=$K$1,0,IF($Y$3*$AD$3&gt;=$J$1,0,0)),0))*$B4*$D4*$E4^(Y$2-1),0.01),0)</f>
        <v>0</v>
      </c>
      <c r="Z4" s="39">
        <f>IF(CEILING($B4*$D4/3,1)&gt;=Z$2,CEILING($F$1*IF($Y$3*$AD$3&gt;=$I$1,1,IF($Y$3*$AD$3&gt;=$H$1,0.5,0))*(1+IF($N$3=$D$1,IF($Y$3*$AD$3&gt;=$K$1,0,IF($Y$3*$AD$3&gt;=$J$1,0,0)),0))*$B4*$D4*$E4^(Z$2-1),0.01),0)</f>
        <v>0</v>
      </c>
      <c r="AA4" s="39">
        <f>IF(CEILING($B4*$D4/3,1)&gt;=AA$2,CEILING($F$1*IF($Y$3*$AD$3&gt;=$I$1,1,IF($Y$3*$AD$3&gt;=$H$1,0.5,0))*(1+IF($N$3=$D$1,IF($Y$3*$AD$3&gt;=$K$1,0,IF($Y$3*$AD$3&gt;=$J$1,0,0)),0))*$B4*$D4*$E4^(AA$2-1),0.01),0)</f>
        <v>0</v>
      </c>
      <c r="AB4" s="39">
        <f>IF(CEILING($B4*$D4/3,1)&gt;=AB$2,CEILING($F$1*IF($Y$3*$AD$3&gt;=$I$1,1,IF($Y$3*$AD$3&gt;=$H$1,0.5,0))*(1+IF($N$3=$D$1,IF($Y$3*$AD$3&gt;=$K$1,0,IF($Y$3*$AD$3&gt;=$J$1,0,0)),0))*$B4*$D4*$E4^(AB$2-1),0.01),0)</f>
        <v>0</v>
      </c>
      <c r="AC4" s="39">
        <f>IF(CEILING($B4*$D4/3,1)&gt;=AC$2,CEILING($F$1*IF($Y$3*$AD$3&gt;=$I$1,1,IF($Y$3*$AD$3&gt;=$H$1,0.5,0))*(1+IF($N$3=$D$1,IF($Y$3*$AD$3&gt;=$K$1,0,IF($Y$3*$AD$3&gt;=$J$1,0,0)),0))*$B4*$D4*$E4^(AC$2-1),0.01),0)</f>
        <v>0</v>
      </c>
      <c r="AD4" s="39">
        <f>IF(CEILING($B4*$D4/3,1)&gt;=AD$2,CEILING($F$1*IF($Y$3*$AD$3&gt;=$I$1,1,IF($Y$3*$AD$3&gt;=$H$1,0.5,0))*(1+IF($N$3=$D$1,IF($Y$3*$AD$3&gt;=$K$1,0,IF($Y$3*$AD$3&gt;=$J$1,0,0)),0))*$B4*$D4*$E4^(AD$2-1),0.01),0)</f>
        <v>0</v>
      </c>
      <c r="AE4" s="39">
        <f>IF(CEILING($B4*$D4/3,1)&gt;=AE$2,CEILING($F$1*IF($Y$3*$AD$3&gt;=$I$1,1,IF($Y$3*$AD$3&gt;=$H$1,0.5,0))*(1+IF($N$3=$D$1,IF($Y$3*$AD$3&gt;=$K$1,0,IF($Y$3*$AD$3&gt;=$J$1,0,0)),0))*$B4*$D4*$E4^(AE$2-1),0.01),0)</f>
        <v>0</v>
      </c>
      <c r="AF4" s="39">
        <f>IF(CEILING($B4*$D4/3,1)&gt;=AF$2,CEILING($F$1*IF($Y$3*$AD$3&gt;=$I$1,1,IF($Y$3*$AD$3&gt;=$H$1,0.5,0))*(1+IF($N$3=$D$1,IF($Y$3*$AD$3&gt;=$K$1,0,IF($Y$3*$AD$3&gt;=$J$1,0,0)),0))*$B4*$D4*$E4^(AF$2-1),0.01),0)</f>
        <v>0</v>
      </c>
      <c r="AG4" s="39">
        <f>IF(CEILING($B4*$D4/3,1)&gt;=AG$2,CEILING($F$1*IF($Y$3*$AD$3&gt;=$I$1,1,IF($Y$3*$AD$3&gt;=$H$1,0.5,0))*(1+IF($N$3=$D$1,IF($Y$3*$AD$3&gt;=$K$1,0,IF($Y$3*$AD$3&gt;=$J$1,0,0)),0))*$B4*$D4*$E4^(AG$2-1),0.01),0)</f>
        <v>0</v>
      </c>
      <c r="AH4" s="39">
        <f>IF(CEILING($B4*$D4/3,1)&gt;=AH$2,CEILING($F$1*IF($Y$3*$AD$3&gt;=$I$1,1,IF($Y$3*$AD$3&gt;=$H$1,0.5,0))*(1+IF($N$3=$D$1,IF($Y$3*$AD$3&gt;=$K$1,0,IF($Y$3*$AD$3&gt;=$J$1,0,0)),0))*$B4*$D4*$E4^(AH$2-1),0.01),0)</f>
        <v>0</v>
      </c>
      <c r="AI4" s="40">
        <f>IF(CEILING($B4*$D4/3,1)&gt;=AI$2,CEILING($F$1*IF($Y$3*$AD$3&gt;=$I$1,1,IF($Y$3*$AD$3&gt;=$H$1,0.5,0))*(1+IF($N$3=$D$1,IF($Y$3*$AD$3&gt;=$K$1,0,IF($Y$3*$AD$3&gt;=$J$1,0,0)),0))*$B4*$D4*$E4^(AI$2-1),0.01),0)</f>
        <v>0</v>
      </c>
    </row>
    <row r="5" spans="1:35" x14ac:dyDescent="0.25">
      <c r="A5" s="58"/>
      <c r="B5" s="60"/>
      <c r="C5" s="6"/>
      <c r="D5" s="68"/>
      <c r="E5" s="64"/>
      <c r="F5" s="41"/>
      <c r="G5" s="41"/>
      <c r="H5" s="41"/>
      <c r="I5" s="41"/>
      <c r="J5" s="42"/>
      <c r="K5" s="42"/>
      <c r="L5" s="42"/>
      <c r="M5" s="42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3"/>
    </row>
    <row r="6" spans="1:35" x14ac:dyDescent="0.25">
      <c r="A6" s="58"/>
      <c r="B6" s="60"/>
      <c r="C6" s="6"/>
      <c r="D6" s="68"/>
      <c r="E6" s="64"/>
      <c r="F6" s="133" t="s">
        <v>11</v>
      </c>
      <c r="G6" s="134"/>
      <c r="H6" s="134"/>
      <c r="I6" s="36">
        <v>2</v>
      </c>
      <c r="J6" s="135" t="s">
        <v>3</v>
      </c>
      <c r="K6" s="135"/>
      <c r="L6" s="135"/>
      <c r="M6" s="135"/>
      <c r="N6" s="130" t="s">
        <v>5</v>
      </c>
      <c r="O6" s="130"/>
      <c r="P6" s="132" t="s">
        <v>1</v>
      </c>
      <c r="Q6" s="132"/>
      <c r="R6" s="132"/>
      <c r="S6" s="132"/>
      <c r="T6" s="15">
        <v>10</v>
      </c>
      <c r="U6" s="132" t="s">
        <v>2</v>
      </c>
      <c r="V6" s="132"/>
      <c r="W6" s="132"/>
      <c r="X6" s="132"/>
      <c r="Y6" s="15">
        <v>9</v>
      </c>
      <c r="Z6" s="132" t="s">
        <v>4</v>
      </c>
      <c r="AA6" s="132"/>
      <c r="AB6" s="132"/>
      <c r="AC6" s="132"/>
      <c r="AD6" s="15">
        <v>6</v>
      </c>
      <c r="AE6" s="37"/>
      <c r="AF6" s="37"/>
      <c r="AG6" s="37"/>
      <c r="AH6" s="37"/>
      <c r="AI6" s="38"/>
    </row>
    <row r="7" spans="1:35" x14ac:dyDescent="0.25">
      <c r="A7" s="58">
        <v>1</v>
      </c>
      <c r="B7" s="60">
        <v>1.1000000000000001</v>
      </c>
      <c r="C7" s="16">
        <v>0</v>
      </c>
      <c r="D7" s="67">
        <f>CEILING(1+MIN(Y$6,T$6-C7-1)+MAX((T$6-C7-1-Y$6)/$M$1,0),1)</f>
        <v>10</v>
      </c>
      <c r="E7" s="63">
        <f>MAX(($G$1/($F$1*D7))^(1/(ROUNDUP(D7/3,)-1)),2/3)</f>
        <v>0.66666666666666663</v>
      </c>
      <c r="F7" s="39">
        <f>IF(CEILING($B7*$D7/3,1)&gt;=F$2,CEILING($F$1*IF($Y$6*$AD$6&gt;=$I$1,1,IF($Y$6*$AD$6&gt;=$H$1,0.5,0))*(1+IF($N$6=$D$1,IF($Y$6*$AD$6&gt;=$K$1,0,IF($Y$6*$AD$6&gt;=$J$1,0,0)),0))*$B7*$D7*$E7^(F$2-1),0.01),0)</f>
        <v>1.6500000000000001</v>
      </c>
      <c r="G7" s="39">
        <f>IF(CEILING($B7*$D7/3,1)&gt;=G$2,CEILING($F$1*IF($Y$6*$AD$6&gt;=$I$1,1,IF($Y$6*$AD$6&gt;=$H$1,0.5,0))*(1+IF($N$6=$D$1,IF($Y$6*$AD$6&gt;=$K$1,0,IF($Y$6*$AD$6&gt;=$J$1,0,0)),0))*$B7*$D7*$E7^(G$2-1),0.01),0)</f>
        <v>1.1000000000000001</v>
      </c>
      <c r="H7" s="39">
        <f>IF(CEILING($B7*$D7/3,1)&gt;=H$2,CEILING($F$1*IF($Y$6*$AD$6&gt;=$I$1,1,IF($Y$6*$AD$6&gt;=$H$1,0.5,0))*(1+IF($N$6=$D$1,IF($Y$6*$AD$6&gt;=$K$1,0,IF($Y$6*$AD$6&gt;=$J$1,0,0)),0))*$B7*$D7*$E7^(H$2-1),0.01),0)</f>
        <v>0.74</v>
      </c>
      <c r="I7" s="39">
        <f>IF(CEILING($B7*$D7/3,1)&gt;=I$2,CEILING($F$1*IF($Y$6*$AD$6&gt;=$I$1,1,IF($Y$6*$AD$6&gt;=$H$1,0.5,0))*(1+IF($N$6=$D$1,IF($Y$6*$AD$6&gt;=$K$1,0,IF($Y$6*$AD$6&gt;=$J$1,0,0)),0))*$B7*$D7*$E7^(I$2-1),0.01),0)</f>
        <v>0.49</v>
      </c>
      <c r="J7" s="39">
        <f>IF(CEILING($B7*$D7/3,1)&gt;=J$2,CEILING($F$1*IF($Y$6*$AD$6&gt;=$I$1,1,IF($Y$6*$AD$6&gt;=$H$1,0.5,0))*(1+IF($N$6=$D$1,IF($Y$6*$AD$6&gt;=$K$1,0,IF($Y$6*$AD$6&gt;=$J$1,0,0)),0))*$B7*$D7*$E7^(J$2-1),0.01),0)</f>
        <v>0</v>
      </c>
      <c r="K7" s="39">
        <f>IF(CEILING($B7*$D7/3,1)&gt;=K$2,CEILING($F$1*IF($Y$6*$AD$6&gt;=$I$1,1,IF($Y$6*$AD$6&gt;=$H$1,0.5,0))*(1+IF($N$6=$D$1,IF($Y$6*$AD$6&gt;=$K$1,0,IF($Y$6*$AD$6&gt;=$J$1,0,0)),0))*$B7*$D7*$E7^(K$2-1),0.01),0)</f>
        <v>0</v>
      </c>
      <c r="L7" s="39">
        <f>IF(CEILING($B7*$D7/3,1)&gt;=L$2,CEILING($F$1*IF($Y$6*$AD$6&gt;=$I$1,1,IF($Y$6*$AD$6&gt;=$H$1,0.5,0))*(1+IF($N$6=$D$1,IF($Y$6*$AD$6&gt;=$K$1,0,IF($Y$6*$AD$6&gt;=$J$1,0,0)),0))*$B7*$D7*$E7^(L$2-1),0.01),0)</f>
        <v>0</v>
      </c>
      <c r="M7" s="39">
        <f>IF(CEILING($B7*$D7/3,1)&gt;=M$2,CEILING($F$1*IF($Y$6*$AD$6&gt;=$I$1,1,IF($Y$6*$AD$6&gt;=$H$1,0.5,0))*(1+IF($N$6=$D$1,IF($Y$6*$AD$6&gt;=$K$1,0,IF($Y$6*$AD$6&gt;=$J$1,0,0)),0))*$B7*$D7*$E7^(M$2-1),0.01),0)</f>
        <v>0</v>
      </c>
      <c r="N7" s="39">
        <f>IF(CEILING($B7*$D7/3,1)&gt;=N$2,CEILING($F$1*IF($Y$6*$AD$6&gt;=$I$1,1,IF($Y$6*$AD$6&gt;=$H$1,0.5,0))*(1+IF($N$6=$D$1,IF($Y$6*$AD$6&gt;=$K$1,0,IF($Y$6*$AD$6&gt;=$J$1,0,0)),0))*$B7*$D7*$E7^(N$2-1),0.01),0)</f>
        <v>0</v>
      </c>
      <c r="O7" s="39">
        <f>IF(CEILING($B7*$D7/3,1)&gt;=O$2,CEILING($F$1*IF($Y$6*$AD$6&gt;=$I$1,1,IF($Y$6*$AD$6&gt;=$H$1,0.5,0))*(1+IF($N$6=$D$1,IF($Y$6*$AD$6&gt;=$K$1,0,IF($Y$6*$AD$6&gt;=$J$1,0,0)),0))*$B7*$D7*$E7^(O$2-1),0.01),0)</f>
        <v>0</v>
      </c>
      <c r="P7" s="39">
        <f>IF(CEILING($B7*$D7/3,1)&gt;=P$2,CEILING($F$1*IF($Y$6*$AD$6&gt;=$I$1,1,IF($Y$6*$AD$6&gt;=$H$1,0.5,0))*(1+IF($N$6=$D$1,IF($Y$6*$AD$6&gt;=$K$1,0,IF($Y$6*$AD$6&gt;=$J$1,0,0)),0))*$B7*$D7*$E7^(P$2-1),0.01),0)</f>
        <v>0</v>
      </c>
      <c r="Q7" s="39">
        <f>IF(CEILING($B7*$D7/3,1)&gt;=Q$2,CEILING($F$1*IF($Y$6*$AD$6&gt;=$I$1,1,IF($Y$6*$AD$6&gt;=$H$1,0.5,0))*(1+IF($N$6=$D$1,IF($Y$6*$AD$6&gt;=$K$1,0,IF($Y$6*$AD$6&gt;=$J$1,0,0)),0))*$B7*$D7*$E7^(Q$2-1),0.01),0)</f>
        <v>0</v>
      </c>
      <c r="R7" s="39">
        <f>IF(CEILING($B7*$D7/3,1)&gt;=R$2,CEILING($F$1*IF($Y$6*$AD$6&gt;=$I$1,1,IF($Y$6*$AD$6&gt;=$H$1,0.5,0))*(1+IF($N$6=$D$1,IF($Y$6*$AD$6&gt;=$K$1,0,IF($Y$6*$AD$6&gt;=$J$1,0,0)),0))*$B7*$D7*$E7^(R$2-1),0.01),0)</f>
        <v>0</v>
      </c>
      <c r="S7" s="39">
        <f>IF(CEILING($B7*$D7/3,1)&gt;=S$2,CEILING($F$1*IF($Y$6*$AD$6&gt;=$I$1,1,IF($Y$6*$AD$6&gt;=$H$1,0.5,0))*(1+IF($N$6=$D$1,IF($Y$6*$AD$6&gt;=$K$1,0,IF($Y$6*$AD$6&gt;=$J$1,0,0)),0))*$B7*$D7*$E7^(S$2-1),0.01),0)</f>
        <v>0</v>
      </c>
      <c r="T7" s="39">
        <f>IF(CEILING($B7*$D7/3,1)&gt;=T$2,CEILING($F$1*IF($Y$6*$AD$6&gt;=$I$1,1,IF($Y$6*$AD$6&gt;=$H$1,0.5,0))*(1+IF($N$6=$D$1,IF($Y$6*$AD$6&gt;=$K$1,0,IF($Y$6*$AD$6&gt;=$J$1,0,0)),0))*$B7*$D7*$E7^(T$2-1),0.01),0)</f>
        <v>0</v>
      </c>
      <c r="U7" s="39">
        <f>IF(CEILING($B7*$D7/3,1)&gt;=U$2,CEILING($F$1*IF($Y$6*$AD$6&gt;=$I$1,1,IF($Y$6*$AD$6&gt;=$H$1,0.5,0))*(1+IF($N$6=$D$1,IF($Y$6*$AD$6&gt;=$K$1,0,IF($Y$6*$AD$6&gt;=$J$1,0,0)),0))*$B7*$D7*$E7^(U$2-1),0.01),0)</f>
        <v>0</v>
      </c>
      <c r="V7" s="39">
        <f>IF(CEILING($B7*$D7/3,1)&gt;=V$2,CEILING($F$1*IF($Y$6*$AD$6&gt;=$I$1,1,IF($Y$6*$AD$6&gt;=$H$1,0.5,0))*(1+IF($N$6=$D$1,IF($Y$6*$AD$6&gt;=$K$1,0,IF($Y$6*$AD$6&gt;=$J$1,0,0)),0))*$B7*$D7*$E7^(V$2-1),0.01),0)</f>
        <v>0</v>
      </c>
      <c r="W7" s="39">
        <f>IF(CEILING($B7*$D7/3,1)&gt;=W$2,CEILING($F$1*IF($Y$6*$AD$6&gt;=$I$1,1,IF($Y$6*$AD$6&gt;=$H$1,0.5,0))*(1+IF($N$6=$D$1,IF($Y$6*$AD$6&gt;=$K$1,0,IF($Y$6*$AD$6&gt;=$J$1,0,0)),0))*$B7*$D7*$E7^(W$2-1),0.01),0)</f>
        <v>0</v>
      </c>
      <c r="X7" s="39">
        <f>IF(CEILING($B7*$D7/3,1)&gt;=X$2,CEILING($F$1*IF($Y$6*$AD$6&gt;=$I$1,1,IF($Y$6*$AD$6&gt;=$H$1,0.5,0))*(1+IF($N$6=$D$1,IF($Y$6*$AD$6&gt;=$K$1,0,IF($Y$6*$AD$6&gt;=$J$1,0,0)),0))*$B7*$D7*$E7^(X$2-1),0.01),0)</f>
        <v>0</v>
      </c>
      <c r="Y7" s="39">
        <f>IF(CEILING($B7*$D7/3,1)&gt;=Y$2,CEILING($F$1*IF($Y$6*$AD$6&gt;=$I$1,1,IF($Y$6*$AD$6&gt;=$H$1,0.5,0))*(1+IF($N$6=$D$1,IF($Y$6*$AD$6&gt;=$K$1,0,IF($Y$6*$AD$6&gt;=$J$1,0,0)),0))*$B7*$D7*$E7^(Y$2-1),0.01),0)</f>
        <v>0</v>
      </c>
      <c r="Z7" s="39">
        <f>IF(CEILING($B7*$D7/3,1)&gt;=Z$2,CEILING($F$1*IF($Y$6*$AD$6&gt;=$I$1,1,IF($Y$6*$AD$6&gt;=$H$1,0.5,0))*(1+IF($N$6=$D$1,IF($Y$6*$AD$6&gt;=$K$1,0,IF($Y$6*$AD$6&gt;=$J$1,0,0)),0))*$B7*$D7*$E7^(Z$2-1),0.01),0)</f>
        <v>0</v>
      </c>
      <c r="AA7" s="39">
        <f>IF(CEILING($B7*$D7/3,1)&gt;=AA$2,CEILING($F$1*IF($Y$6*$AD$6&gt;=$I$1,1,IF($Y$6*$AD$6&gt;=$H$1,0.5,0))*(1+IF($N$6=$D$1,IF($Y$6*$AD$6&gt;=$K$1,0,IF($Y$6*$AD$6&gt;=$J$1,0,0)),0))*$B7*$D7*$E7^(AA$2-1),0.01),0)</f>
        <v>0</v>
      </c>
      <c r="AB7" s="39">
        <f>IF(CEILING($B7*$D7/3,1)&gt;=AB$2,CEILING($F$1*IF($Y$6*$AD$6&gt;=$I$1,1,IF($Y$6*$AD$6&gt;=$H$1,0.5,0))*(1+IF($N$6=$D$1,IF($Y$6*$AD$6&gt;=$K$1,0,IF($Y$6*$AD$6&gt;=$J$1,0,0)),0))*$B7*$D7*$E7^(AB$2-1),0.01),0)</f>
        <v>0</v>
      </c>
      <c r="AC7" s="39">
        <f>IF(CEILING($B7*$D7/3,1)&gt;=AC$2,CEILING($F$1*IF($Y$6*$AD$6&gt;=$I$1,1,IF($Y$6*$AD$6&gt;=$H$1,0.5,0))*(1+IF($N$6=$D$1,IF($Y$6*$AD$6&gt;=$K$1,0,IF($Y$6*$AD$6&gt;=$J$1,0,0)),0))*$B7*$D7*$E7^(AC$2-1),0.01),0)</f>
        <v>0</v>
      </c>
      <c r="AD7" s="39">
        <f>IF(CEILING($B7*$D7/3,1)&gt;=AD$2,CEILING($F$1*IF($Y$6*$AD$6&gt;=$I$1,1,IF($Y$6*$AD$6&gt;=$H$1,0.5,0))*(1+IF($N$6=$D$1,IF($Y$6*$AD$6&gt;=$K$1,0,IF($Y$6*$AD$6&gt;=$J$1,0,0)),0))*$B7*$D7*$E7^(AD$2-1),0.01),0)</f>
        <v>0</v>
      </c>
      <c r="AE7" s="39">
        <f>IF(CEILING($B7*$D7/3,1)&gt;=AE$2,CEILING($F$1*IF($Y$6*$AD$6&gt;=$I$1,1,IF($Y$6*$AD$6&gt;=$H$1,0.5,0))*(1+IF($N$6=$D$1,IF($Y$6*$AD$6&gt;=$K$1,0,IF($Y$6*$AD$6&gt;=$J$1,0,0)),0))*$B7*$D7*$E7^(AE$2-1),0.01),0)</f>
        <v>0</v>
      </c>
      <c r="AF7" s="39">
        <f>IF(CEILING($B7*$D7/3,1)&gt;=AF$2,CEILING($F$1*IF($Y$6*$AD$6&gt;=$I$1,1,IF($Y$6*$AD$6&gt;=$H$1,0.5,0))*(1+IF($N$6=$D$1,IF($Y$6*$AD$6&gt;=$K$1,0,IF($Y$6*$AD$6&gt;=$J$1,0,0)),0))*$B7*$D7*$E7^(AF$2-1),0.01),0)</f>
        <v>0</v>
      </c>
      <c r="AG7" s="39">
        <f>IF(CEILING($B7*$D7/3,1)&gt;=AG$2,CEILING($F$1*IF($Y$6*$AD$6&gt;=$I$1,1,IF($Y$6*$AD$6&gt;=$H$1,0.5,0))*(1+IF($N$6=$D$1,IF($Y$6*$AD$6&gt;=$K$1,0,IF($Y$6*$AD$6&gt;=$J$1,0,0)),0))*$B7*$D7*$E7^(AG$2-1),0.01),0)</f>
        <v>0</v>
      </c>
      <c r="AH7" s="39">
        <f>IF(CEILING($B7*$D7/3,1)&gt;=AH$2,CEILING($F$1*IF($Y$6*$AD$6&gt;=$I$1,1,IF($Y$6*$AD$6&gt;=$H$1,0.5,0))*(1+IF($N$6=$D$1,IF($Y$6*$AD$6&gt;=$K$1,0,IF($Y$6*$AD$6&gt;=$J$1,0,0)),0))*$B7*$D7*$E7^(AH$2-1),0.01),0)</f>
        <v>0</v>
      </c>
      <c r="AI7" s="40">
        <f>IF(CEILING($B7*$D7/3,1)&gt;=AI$2,CEILING($F$1*IF($Y$6*$AD$6&gt;=$I$1,1,IF($Y$6*$AD$6&gt;=$H$1,0.5,0))*(1+IF($N$6=$D$1,IF($Y$6*$AD$6&gt;=$K$1,0,IF($Y$6*$AD$6&gt;=$J$1,0,0)),0))*$B7*$D7*$E7^(AI$2-1),0.01),0)</f>
        <v>0</v>
      </c>
    </row>
    <row r="8" spans="1:35" x14ac:dyDescent="0.25">
      <c r="A8" s="58">
        <v>2</v>
      </c>
      <c r="B8" s="60">
        <v>0.9</v>
      </c>
      <c r="C8" s="16">
        <v>0</v>
      </c>
      <c r="D8" s="67">
        <f>CEILING(1+MIN(Y$6,T$6-C8-1)+MAX((T$6-C8-1-Y$6)/$M$1,0),1)</f>
        <v>10</v>
      </c>
      <c r="E8" s="63">
        <f>MAX(($G$1/($F$1*D8))^(1/(ROUNDUP(D8/3,)-1)),2/3)</f>
        <v>0.66666666666666663</v>
      </c>
      <c r="F8" s="39">
        <f>IF(CEILING($B8*$D8/3,1)&gt;=F$2,CEILING($F$1*IF($Y$6*$AD$6&gt;=$I$1,1,IF($Y$6*$AD$6&gt;=$H$1,0.5,0))*(1+IF($N$6=$D$1,IF($Y$6*$AD$6&gt;=$K$1,0,IF($Y$6*$AD$6&gt;=$J$1,0,0)),0))*$B8*$D8*$E8^(F$2-1),0.01),0)</f>
        <v>1.35</v>
      </c>
      <c r="G8" s="39">
        <f>IF(CEILING($B8*$D8/3,1)&gt;=G$2,CEILING($F$1*IF($Y$6*$AD$6&gt;=$I$1,1,IF($Y$6*$AD$6&gt;=$H$1,0.5,0))*(1+IF($N$6=$D$1,IF($Y$6*$AD$6&gt;=$K$1,0,IF($Y$6*$AD$6&gt;=$J$1,0,0)),0))*$B8*$D8*$E8^(G$2-1),0.01),0)</f>
        <v>0.9</v>
      </c>
      <c r="H8" s="39">
        <f>IF(CEILING($B8*$D8/3,1)&gt;=H$2,CEILING($F$1*IF($Y$6*$AD$6&gt;=$I$1,1,IF($Y$6*$AD$6&gt;=$H$1,0.5,0))*(1+IF($N$6=$D$1,IF($Y$6*$AD$6&gt;=$K$1,0,IF($Y$6*$AD$6&gt;=$J$1,0,0)),0))*$B8*$D8*$E8^(H$2-1),0.01),0)</f>
        <v>0.6</v>
      </c>
      <c r="I8" s="39">
        <f>IF(CEILING($B8*$D8/3,1)&gt;=I$2,CEILING($F$1*IF($Y$6*$AD$6&gt;=$I$1,1,IF($Y$6*$AD$6&gt;=$H$1,0.5,0))*(1+IF($N$6=$D$1,IF($Y$6*$AD$6&gt;=$K$1,0,IF($Y$6*$AD$6&gt;=$J$1,0,0)),0))*$B8*$D8*$E8^(I$2-1),0.01),0)</f>
        <v>0</v>
      </c>
      <c r="J8" s="39">
        <f>IF(CEILING($B8*$D8/3,1)&gt;=J$2,CEILING($F$1*IF($Y$6*$AD$6&gt;=$I$1,1,IF($Y$6*$AD$6&gt;=$H$1,0.5,0))*(1+IF($N$6=$D$1,IF($Y$6*$AD$6&gt;=$K$1,0,IF($Y$6*$AD$6&gt;=$J$1,0,0)),0))*$B8*$D8*$E8^(J$2-1),0.01),0)</f>
        <v>0</v>
      </c>
      <c r="K8" s="39">
        <f>IF(CEILING($B8*$D8/3,1)&gt;=K$2,CEILING($F$1*IF($Y$6*$AD$6&gt;=$I$1,1,IF($Y$6*$AD$6&gt;=$H$1,0.5,0))*(1+IF($N$6=$D$1,IF($Y$6*$AD$6&gt;=$K$1,0,IF($Y$6*$AD$6&gt;=$J$1,0,0)),0))*$B8*$D8*$E8^(K$2-1),0.01),0)</f>
        <v>0</v>
      </c>
      <c r="L8" s="39">
        <f>IF(CEILING($B8*$D8/3,1)&gt;=L$2,CEILING($F$1*IF($Y$6*$AD$6&gt;=$I$1,1,IF($Y$6*$AD$6&gt;=$H$1,0.5,0))*(1+IF($N$6=$D$1,IF($Y$6*$AD$6&gt;=$K$1,0,IF($Y$6*$AD$6&gt;=$J$1,0,0)),0))*$B8*$D8*$E8^(L$2-1),0.01),0)</f>
        <v>0</v>
      </c>
      <c r="M8" s="39">
        <f>IF(CEILING($B8*$D8/3,1)&gt;=M$2,CEILING($F$1*IF($Y$6*$AD$6&gt;=$I$1,1,IF($Y$6*$AD$6&gt;=$H$1,0.5,0))*(1+IF($N$6=$D$1,IF($Y$6*$AD$6&gt;=$K$1,0,IF($Y$6*$AD$6&gt;=$J$1,0,0)),0))*$B8*$D8*$E8^(M$2-1),0.01),0)</f>
        <v>0</v>
      </c>
      <c r="N8" s="39">
        <f>IF(CEILING($B8*$D8/3,1)&gt;=N$2,CEILING($F$1*IF($Y$6*$AD$6&gt;=$I$1,1,IF($Y$6*$AD$6&gt;=$H$1,0.5,0))*(1+IF($N$6=$D$1,IF($Y$6*$AD$6&gt;=$K$1,0,IF($Y$6*$AD$6&gt;=$J$1,0,0)),0))*$B8*$D8*$E8^(N$2-1),0.01),0)</f>
        <v>0</v>
      </c>
      <c r="O8" s="39">
        <f>IF(CEILING($B8*$D8/3,1)&gt;=O$2,CEILING($F$1*IF($Y$6*$AD$6&gt;=$I$1,1,IF($Y$6*$AD$6&gt;=$H$1,0.5,0))*(1+IF($N$6=$D$1,IF($Y$6*$AD$6&gt;=$K$1,0,IF($Y$6*$AD$6&gt;=$J$1,0,0)),0))*$B8*$D8*$E8^(O$2-1),0.01),0)</f>
        <v>0</v>
      </c>
      <c r="P8" s="39">
        <f>IF(CEILING($B8*$D8/3,1)&gt;=P$2,CEILING($F$1*IF($Y$6*$AD$6&gt;=$I$1,1,IF($Y$6*$AD$6&gt;=$H$1,0.5,0))*(1+IF($N$6=$D$1,IF($Y$6*$AD$6&gt;=$K$1,0,IF($Y$6*$AD$6&gt;=$J$1,0,0)),0))*$B8*$D8*$E8^(P$2-1),0.01),0)</f>
        <v>0</v>
      </c>
      <c r="Q8" s="39">
        <f>IF(CEILING($B8*$D8/3,1)&gt;=Q$2,CEILING($F$1*IF($Y$6*$AD$6&gt;=$I$1,1,IF($Y$6*$AD$6&gt;=$H$1,0.5,0))*(1+IF($N$6=$D$1,IF($Y$6*$AD$6&gt;=$K$1,0,IF($Y$6*$AD$6&gt;=$J$1,0,0)),0))*$B8*$D8*$E8^(Q$2-1),0.01),0)</f>
        <v>0</v>
      </c>
      <c r="R8" s="39">
        <f>IF(CEILING($B8*$D8/3,1)&gt;=R$2,CEILING($F$1*IF($Y$6*$AD$6&gt;=$I$1,1,IF($Y$6*$AD$6&gt;=$H$1,0.5,0))*(1+IF($N$6=$D$1,IF($Y$6*$AD$6&gt;=$K$1,0,IF($Y$6*$AD$6&gt;=$J$1,0,0)),0))*$B8*$D8*$E8^(R$2-1),0.01),0)</f>
        <v>0</v>
      </c>
      <c r="S8" s="39">
        <f>IF(CEILING($B8*$D8/3,1)&gt;=S$2,CEILING($F$1*IF($Y$6*$AD$6&gt;=$I$1,1,IF($Y$6*$AD$6&gt;=$H$1,0.5,0))*(1+IF($N$6=$D$1,IF($Y$6*$AD$6&gt;=$K$1,0,IF($Y$6*$AD$6&gt;=$J$1,0,0)),0))*$B8*$D8*$E8^(S$2-1),0.01),0)</f>
        <v>0</v>
      </c>
      <c r="T8" s="39">
        <f>IF(CEILING($B8*$D8/3,1)&gt;=T$2,CEILING($F$1*IF($Y$6*$AD$6&gt;=$I$1,1,IF($Y$6*$AD$6&gt;=$H$1,0.5,0))*(1+IF($N$6=$D$1,IF($Y$6*$AD$6&gt;=$K$1,0,IF($Y$6*$AD$6&gt;=$J$1,0,0)),0))*$B8*$D8*$E8^(T$2-1),0.01),0)</f>
        <v>0</v>
      </c>
      <c r="U8" s="39">
        <f>IF(CEILING($B8*$D8/3,1)&gt;=U$2,CEILING($F$1*IF($Y$6*$AD$6&gt;=$I$1,1,IF($Y$6*$AD$6&gt;=$H$1,0.5,0))*(1+IF($N$6=$D$1,IF($Y$6*$AD$6&gt;=$K$1,0,IF($Y$6*$AD$6&gt;=$J$1,0,0)),0))*$B8*$D8*$E8^(U$2-1),0.01),0)</f>
        <v>0</v>
      </c>
      <c r="V8" s="39">
        <f>IF(CEILING($B8*$D8/3,1)&gt;=V$2,CEILING($F$1*IF($Y$6*$AD$6&gt;=$I$1,1,IF($Y$6*$AD$6&gt;=$H$1,0.5,0))*(1+IF($N$6=$D$1,IF($Y$6*$AD$6&gt;=$K$1,0,IF($Y$6*$AD$6&gt;=$J$1,0,0)),0))*$B8*$D8*$E8^(V$2-1),0.01),0)</f>
        <v>0</v>
      </c>
      <c r="W8" s="39">
        <f>IF(CEILING($B8*$D8/3,1)&gt;=W$2,CEILING($F$1*IF($Y$6*$AD$6&gt;=$I$1,1,IF($Y$6*$AD$6&gt;=$H$1,0.5,0))*(1+IF($N$6=$D$1,IF($Y$6*$AD$6&gt;=$K$1,0,IF($Y$6*$AD$6&gt;=$J$1,0,0)),0))*$B8*$D8*$E8^(W$2-1),0.01),0)</f>
        <v>0</v>
      </c>
      <c r="X8" s="39">
        <f>IF(CEILING($B8*$D8/3,1)&gt;=X$2,CEILING($F$1*IF($Y$6*$AD$6&gt;=$I$1,1,IF($Y$6*$AD$6&gt;=$H$1,0.5,0))*(1+IF($N$6=$D$1,IF($Y$6*$AD$6&gt;=$K$1,0,IF($Y$6*$AD$6&gt;=$J$1,0,0)),0))*$B8*$D8*$E8^(X$2-1),0.01),0)</f>
        <v>0</v>
      </c>
      <c r="Y8" s="39">
        <f>IF(CEILING($B8*$D8/3,1)&gt;=Y$2,CEILING($F$1*IF($Y$6*$AD$6&gt;=$I$1,1,IF($Y$6*$AD$6&gt;=$H$1,0.5,0))*(1+IF($N$6=$D$1,IF($Y$6*$AD$6&gt;=$K$1,0,IF($Y$6*$AD$6&gt;=$J$1,0,0)),0))*$B8*$D8*$E8^(Y$2-1),0.01),0)</f>
        <v>0</v>
      </c>
      <c r="Z8" s="39">
        <f>IF(CEILING($B8*$D8/3,1)&gt;=Z$2,CEILING($F$1*IF($Y$6*$AD$6&gt;=$I$1,1,IF($Y$6*$AD$6&gt;=$H$1,0.5,0))*(1+IF($N$6=$D$1,IF($Y$6*$AD$6&gt;=$K$1,0,IF($Y$6*$AD$6&gt;=$J$1,0,0)),0))*$B8*$D8*$E8^(Z$2-1),0.01),0)</f>
        <v>0</v>
      </c>
      <c r="AA8" s="39">
        <f>IF(CEILING($B8*$D8/3,1)&gt;=AA$2,CEILING($F$1*IF($Y$6*$AD$6&gt;=$I$1,1,IF($Y$6*$AD$6&gt;=$H$1,0.5,0))*(1+IF($N$6=$D$1,IF($Y$6*$AD$6&gt;=$K$1,0,IF($Y$6*$AD$6&gt;=$J$1,0,0)),0))*$B8*$D8*$E8^(AA$2-1),0.01),0)</f>
        <v>0</v>
      </c>
      <c r="AB8" s="39">
        <f>IF(CEILING($B8*$D8/3,1)&gt;=AB$2,CEILING($F$1*IF($Y$6*$AD$6&gt;=$I$1,1,IF($Y$6*$AD$6&gt;=$H$1,0.5,0))*(1+IF($N$6=$D$1,IF($Y$6*$AD$6&gt;=$K$1,0,IF($Y$6*$AD$6&gt;=$J$1,0,0)),0))*$B8*$D8*$E8^(AB$2-1),0.01),0)</f>
        <v>0</v>
      </c>
      <c r="AC8" s="39">
        <f>IF(CEILING($B8*$D8/3,1)&gt;=AC$2,CEILING($F$1*IF($Y$6*$AD$6&gt;=$I$1,1,IF($Y$6*$AD$6&gt;=$H$1,0.5,0))*(1+IF($N$6=$D$1,IF($Y$6*$AD$6&gt;=$K$1,0,IF($Y$6*$AD$6&gt;=$J$1,0,0)),0))*$B8*$D8*$E8^(AC$2-1),0.01),0)</f>
        <v>0</v>
      </c>
      <c r="AD8" s="39">
        <f>IF(CEILING($B8*$D8/3,1)&gt;=AD$2,CEILING($F$1*IF($Y$6*$AD$6&gt;=$I$1,1,IF($Y$6*$AD$6&gt;=$H$1,0.5,0))*(1+IF($N$6=$D$1,IF($Y$6*$AD$6&gt;=$K$1,0,IF($Y$6*$AD$6&gt;=$J$1,0,0)),0))*$B8*$D8*$E8^(AD$2-1),0.01),0)</f>
        <v>0</v>
      </c>
      <c r="AE8" s="39">
        <f>IF(CEILING($B8*$D8/3,1)&gt;=AE$2,CEILING($F$1*IF($Y$6*$AD$6&gt;=$I$1,1,IF($Y$6*$AD$6&gt;=$H$1,0.5,0))*(1+IF($N$6=$D$1,IF($Y$6*$AD$6&gt;=$K$1,0,IF($Y$6*$AD$6&gt;=$J$1,0,0)),0))*$B8*$D8*$E8^(AE$2-1),0.01),0)</f>
        <v>0</v>
      </c>
      <c r="AF8" s="39">
        <f>IF(CEILING($B8*$D8/3,1)&gt;=AF$2,CEILING($F$1*IF($Y$6*$AD$6&gt;=$I$1,1,IF($Y$6*$AD$6&gt;=$H$1,0.5,0))*(1+IF($N$6=$D$1,IF($Y$6*$AD$6&gt;=$K$1,0,IF($Y$6*$AD$6&gt;=$J$1,0,0)),0))*$B8*$D8*$E8^(AF$2-1),0.01),0)</f>
        <v>0</v>
      </c>
      <c r="AG8" s="39">
        <f>IF(CEILING($B8*$D8/3,1)&gt;=AG$2,CEILING($F$1*IF($Y$6*$AD$6&gt;=$I$1,1,IF($Y$6*$AD$6&gt;=$H$1,0.5,0))*(1+IF($N$6=$D$1,IF($Y$6*$AD$6&gt;=$K$1,0,IF($Y$6*$AD$6&gt;=$J$1,0,0)),0))*$B8*$D8*$E8^(AG$2-1),0.01),0)</f>
        <v>0</v>
      </c>
      <c r="AH8" s="39">
        <f>IF(CEILING($B8*$D8/3,1)&gt;=AH$2,CEILING($F$1*IF($Y$6*$AD$6&gt;=$I$1,1,IF($Y$6*$AD$6&gt;=$H$1,0.5,0))*(1+IF($N$6=$D$1,IF($Y$6*$AD$6&gt;=$K$1,0,IF($Y$6*$AD$6&gt;=$J$1,0,0)),0))*$B8*$D8*$E8^(AH$2-1),0.01),0)</f>
        <v>0</v>
      </c>
      <c r="AI8" s="40">
        <f>IF(CEILING($B8*$D8/3,1)&gt;=AI$2,CEILING($F$1*IF($Y$6*$AD$6&gt;=$I$1,1,IF($Y$6*$AD$6&gt;=$H$1,0.5,0))*(1+IF($N$6=$D$1,IF($Y$6*$AD$6&gt;=$K$1,0,IF($Y$6*$AD$6&gt;=$J$1,0,0)),0))*$B8*$D8*$E8^(AI$2-1),0.01),0)</f>
        <v>0</v>
      </c>
    </row>
    <row r="9" spans="1:35" x14ac:dyDescent="0.25">
      <c r="A9" s="58"/>
      <c r="B9" s="60"/>
      <c r="C9" s="6"/>
      <c r="D9" s="68"/>
      <c r="E9" s="64"/>
      <c r="F9" s="41"/>
      <c r="G9" s="41"/>
      <c r="H9" s="41"/>
      <c r="I9" s="41"/>
      <c r="J9" s="42"/>
      <c r="K9" s="42"/>
      <c r="L9" s="42"/>
      <c r="M9" s="42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3"/>
    </row>
    <row r="10" spans="1:35" x14ac:dyDescent="0.25">
      <c r="A10" s="58"/>
      <c r="B10" s="60"/>
      <c r="C10" s="6"/>
      <c r="D10" s="68"/>
      <c r="E10" s="64"/>
      <c r="F10" s="133" t="s">
        <v>11</v>
      </c>
      <c r="G10" s="134"/>
      <c r="H10" s="134"/>
      <c r="I10" s="36">
        <v>3</v>
      </c>
      <c r="J10" s="135" t="s">
        <v>3</v>
      </c>
      <c r="K10" s="135"/>
      <c r="L10" s="135"/>
      <c r="M10" s="135"/>
      <c r="N10" s="130" t="s">
        <v>5</v>
      </c>
      <c r="O10" s="130"/>
      <c r="P10" s="132" t="s">
        <v>1</v>
      </c>
      <c r="Q10" s="132"/>
      <c r="R10" s="132"/>
      <c r="S10" s="132"/>
      <c r="T10" s="15">
        <v>10</v>
      </c>
      <c r="U10" s="132" t="s">
        <v>2</v>
      </c>
      <c r="V10" s="132"/>
      <c r="W10" s="132"/>
      <c r="X10" s="132"/>
      <c r="Y10" s="15">
        <v>9</v>
      </c>
      <c r="Z10" s="132" t="s">
        <v>4</v>
      </c>
      <c r="AA10" s="132"/>
      <c r="AB10" s="132"/>
      <c r="AC10" s="132"/>
      <c r="AD10" s="15">
        <v>6</v>
      </c>
      <c r="AE10" s="37"/>
      <c r="AF10" s="37"/>
      <c r="AG10" s="37"/>
      <c r="AH10" s="37"/>
      <c r="AI10" s="38"/>
    </row>
    <row r="11" spans="1:35" x14ac:dyDescent="0.25">
      <c r="A11" s="58">
        <v>1</v>
      </c>
      <c r="B11" s="60">
        <v>1.1499999999999999</v>
      </c>
      <c r="C11" s="16">
        <v>0</v>
      </c>
      <c r="D11" s="67">
        <f>CEILING(1+MIN(Y$10,T$10-C11-1)+MAX((T$10-C11-1-Y$10)/$M$1,0),1)</f>
        <v>10</v>
      </c>
      <c r="E11" s="63">
        <f>MAX(($G$1/($F$1*D11))^(1/(ROUNDUP(D11/3,)-1)),2/3)</f>
        <v>0.66666666666666663</v>
      </c>
      <c r="F11" s="39">
        <f>IF(CEILING($B11*$D11/3,1)&gt;=F$2,CEILING($F$1*IF($Y$10*$AD$10&gt;=$I$1,1,IF($Y$10*$AD$10&gt;=$H$1,0.5,0))*(1+IF($N$10=$D$1,IF($Y$10*$AD$10&gt;=$K$1,0,IF($Y$10*$AD$10&gt;=$J$1,0,0)),0))*$B11*$D11*$E11^(F$2-1),0.01),0)</f>
        <v>1.73</v>
      </c>
      <c r="G11" s="39">
        <f>IF(CEILING($B11*$D11/3,1)&gt;=G$2,CEILING($F$1*IF($Y$10*$AD$10&gt;=$I$1,1,IF($Y$10*$AD$10&gt;=$H$1,0.5,0))*(1+IF($N$10=$D$1,IF($Y$10*$AD$10&gt;=$K$1,0,IF($Y$10*$AD$10&gt;=$J$1,0,0)),0))*$B11*$D11*$E11^(G$2-1),0.01),0)</f>
        <v>1.1500000000000001</v>
      </c>
      <c r="H11" s="39">
        <f>IF(CEILING($B11*$D11/3,1)&gt;=H$2,CEILING($F$1*IF($Y$10*$AD$10&gt;=$I$1,1,IF($Y$10*$AD$10&gt;=$H$1,0.5,0))*(1+IF($N$10=$D$1,IF($Y$10*$AD$10&gt;=$K$1,0,IF($Y$10*$AD$10&gt;=$J$1,0,0)),0))*$B11*$D11*$E11^(H$2-1),0.01),0)</f>
        <v>0.77</v>
      </c>
      <c r="I11" s="39">
        <f>IF(CEILING($B11*$D11/3,1)&gt;=I$2,CEILING($F$1*IF($Y$10*$AD$10&gt;=$I$1,1,IF($Y$10*$AD$10&gt;=$H$1,0.5,0))*(1+IF($N$10=$D$1,IF($Y$10*$AD$10&gt;=$K$1,0,IF($Y$10*$AD$10&gt;=$J$1,0,0)),0))*$B11*$D11*$E11^(I$2-1),0.01),0)</f>
        <v>0.52</v>
      </c>
      <c r="J11" s="39">
        <f>IF(CEILING($B11*$D11/3,1)&gt;=J$2,CEILING($F$1*IF($Y$10*$AD$10&gt;=$I$1,1,IF($Y$10*$AD$10&gt;=$H$1,0.5,0))*(1+IF($N$10=$D$1,IF($Y$10*$AD$10&gt;=$K$1,0,IF($Y$10*$AD$10&gt;=$J$1,0,0)),0))*$B11*$D11*$E11^(J$2-1),0.01),0)</f>
        <v>0</v>
      </c>
      <c r="K11" s="39">
        <f>IF(CEILING($B11*$D11/3,1)&gt;=K$2,CEILING($F$1*IF($Y$10*$AD$10&gt;=$I$1,1,IF($Y$10*$AD$10&gt;=$H$1,0.5,0))*(1+IF($N$10=$D$1,IF($Y$10*$AD$10&gt;=$K$1,0,IF($Y$10*$AD$10&gt;=$J$1,0,0)),0))*$B11*$D11*$E11^(K$2-1),0.01),0)</f>
        <v>0</v>
      </c>
      <c r="L11" s="39">
        <f>IF(CEILING($B11*$D11/3,1)&gt;=L$2,CEILING($F$1*IF($Y$10*$AD$10&gt;=$I$1,1,IF($Y$10*$AD$10&gt;=$H$1,0.5,0))*(1+IF($N$10=$D$1,IF($Y$10*$AD$10&gt;=$K$1,0,IF($Y$10*$AD$10&gt;=$J$1,0,0)),0))*$B11*$D11*$E11^(L$2-1),0.01),0)</f>
        <v>0</v>
      </c>
      <c r="M11" s="39">
        <f>IF(CEILING($B11*$D11/3,1)&gt;=M$2,CEILING($F$1*IF($Y$10*$AD$10&gt;=$I$1,1,IF($Y$10*$AD$10&gt;=$H$1,0.5,0))*(1+IF($N$10=$D$1,IF($Y$10*$AD$10&gt;=$K$1,0,IF($Y$10*$AD$10&gt;=$J$1,0,0)),0))*$B11*$D11*$E11^(M$2-1),0.01),0)</f>
        <v>0</v>
      </c>
      <c r="N11" s="39">
        <f>IF(CEILING($B11*$D11/3,1)&gt;=N$2,CEILING($F$1*IF($Y$10*$AD$10&gt;=$I$1,1,IF($Y$10*$AD$10&gt;=$H$1,0.5,0))*(1+IF($N$10=$D$1,IF($Y$10*$AD$10&gt;=$K$1,0,IF($Y$10*$AD$10&gt;=$J$1,0,0)),0))*$B11*$D11*$E11^(N$2-1),0.01),0)</f>
        <v>0</v>
      </c>
      <c r="O11" s="39">
        <f>IF(CEILING($B11*$D11/3,1)&gt;=O$2,CEILING($F$1*IF($Y$10*$AD$10&gt;=$I$1,1,IF($Y$10*$AD$10&gt;=$H$1,0.5,0))*(1+IF($N$10=$D$1,IF($Y$10*$AD$10&gt;=$K$1,0,IF($Y$10*$AD$10&gt;=$J$1,0,0)),0))*$B11*$D11*$E11^(O$2-1),0.01),0)</f>
        <v>0</v>
      </c>
      <c r="P11" s="39">
        <f>IF(CEILING($B11*$D11/3,1)&gt;=P$2,CEILING($F$1*IF($Y$10*$AD$10&gt;=$I$1,1,IF($Y$10*$AD$10&gt;=$H$1,0.5,0))*(1+IF($N$10=$D$1,IF($Y$10*$AD$10&gt;=$K$1,0,IF($Y$10*$AD$10&gt;=$J$1,0,0)),0))*$B11*$D11*$E11^(P$2-1),0.01),0)</f>
        <v>0</v>
      </c>
      <c r="Q11" s="39">
        <f>IF(CEILING($B11*$D11/3,1)&gt;=Q$2,CEILING($F$1*IF($Y$10*$AD$10&gt;=$I$1,1,IF($Y$10*$AD$10&gt;=$H$1,0.5,0))*(1+IF($N$10=$D$1,IF($Y$10*$AD$10&gt;=$K$1,0,IF($Y$10*$AD$10&gt;=$J$1,0,0)),0))*$B11*$D11*$E11^(Q$2-1),0.01),0)</f>
        <v>0</v>
      </c>
      <c r="R11" s="39">
        <f>IF(CEILING($B11*$D11/3,1)&gt;=R$2,CEILING($F$1*IF($Y$10*$AD$10&gt;=$I$1,1,IF($Y$10*$AD$10&gt;=$H$1,0.5,0))*(1+IF($N$10=$D$1,IF($Y$10*$AD$10&gt;=$K$1,0,IF($Y$10*$AD$10&gt;=$J$1,0,0)),0))*$B11*$D11*$E11^(R$2-1),0.01),0)</f>
        <v>0</v>
      </c>
      <c r="S11" s="39">
        <f>IF(CEILING($B11*$D11/3,1)&gt;=S$2,CEILING($F$1*IF($Y$10*$AD$10&gt;=$I$1,1,IF($Y$10*$AD$10&gt;=$H$1,0.5,0))*(1+IF($N$10=$D$1,IF($Y$10*$AD$10&gt;=$K$1,0,IF($Y$10*$AD$10&gt;=$J$1,0,0)),0))*$B11*$D11*$E11^(S$2-1),0.01),0)</f>
        <v>0</v>
      </c>
      <c r="T11" s="39">
        <f>IF(CEILING($B11*$D11/3,1)&gt;=T$2,CEILING($F$1*IF($Y$10*$AD$10&gt;=$I$1,1,IF($Y$10*$AD$10&gt;=$H$1,0.5,0))*(1+IF($N$10=$D$1,IF($Y$10*$AD$10&gt;=$K$1,0,IF($Y$10*$AD$10&gt;=$J$1,0,0)),0))*$B11*$D11*$E11^(T$2-1),0.01),0)</f>
        <v>0</v>
      </c>
      <c r="U11" s="39">
        <f>IF(CEILING($B11*$D11/3,1)&gt;=U$2,CEILING($F$1*IF($Y$10*$AD$10&gt;=$I$1,1,IF($Y$10*$AD$10&gt;=$H$1,0.5,0))*(1+IF($N$10=$D$1,IF($Y$10*$AD$10&gt;=$K$1,0,IF($Y$10*$AD$10&gt;=$J$1,0,0)),0))*$B11*$D11*$E11^(U$2-1),0.01),0)</f>
        <v>0</v>
      </c>
      <c r="V11" s="39">
        <f>IF(CEILING($B11*$D11/3,1)&gt;=V$2,CEILING($F$1*IF($Y$10*$AD$10&gt;=$I$1,1,IF($Y$10*$AD$10&gt;=$H$1,0.5,0))*(1+IF($N$10=$D$1,IF($Y$10*$AD$10&gt;=$K$1,0,IF($Y$10*$AD$10&gt;=$J$1,0,0)),0))*$B11*$D11*$E11^(V$2-1),0.01),0)</f>
        <v>0</v>
      </c>
      <c r="W11" s="39">
        <f>IF(CEILING($B11*$D11/3,1)&gt;=W$2,CEILING($F$1*IF($Y$10*$AD$10&gt;=$I$1,1,IF($Y$10*$AD$10&gt;=$H$1,0.5,0))*(1+IF($N$10=$D$1,IF($Y$10*$AD$10&gt;=$K$1,0,IF($Y$10*$AD$10&gt;=$J$1,0,0)),0))*$B11*$D11*$E11^(W$2-1),0.01),0)</f>
        <v>0</v>
      </c>
      <c r="X11" s="39">
        <f>IF(CEILING($B11*$D11/3,1)&gt;=X$2,CEILING($F$1*IF($Y$10*$AD$10&gt;=$I$1,1,IF($Y$10*$AD$10&gt;=$H$1,0.5,0))*(1+IF($N$10=$D$1,IF($Y$10*$AD$10&gt;=$K$1,0,IF($Y$10*$AD$10&gt;=$J$1,0,0)),0))*$B11*$D11*$E11^(X$2-1),0.01),0)</f>
        <v>0</v>
      </c>
      <c r="Y11" s="39">
        <f>IF(CEILING($B11*$D11/3,1)&gt;=Y$2,CEILING($F$1*IF($Y$10*$AD$10&gt;=$I$1,1,IF($Y$10*$AD$10&gt;=$H$1,0.5,0))*(1+IF($N$10=$D$1,IF($Y$10*$AD$10&gt;=$K$1,0,IF($Y$10*$AD$10&gt;=$J$1,0,0)),0))*$B11*$D11*$E11^(Y$2-1),0.01),0)</f>
        <v>0</v>
      </c>
      <c r="Z11" s="39">
        <f>IF(CEILING($B11*$D11/3,1)&gt;=Z$2,CEILING($F$1*IF($Y$10*$AD$10&gt;=$I$1,1,IF($Y$10*$AD$10&gt;=$H$1,0.5,0))*(1+IF($N$10=$D$1,IF($Y$10*$AD$10&gt;=$K$1,0,IF($Y$10*$AD$10&gt;=$J$1,0,0)),0))*$B11*$D11*$E11^(Z$2-1),0.01),0)</f>
        <v>0</v>
      </c>
      <c r="AA11" s="39">
        <f>IF(CEILING($B11*$D11/3,1)&gt;=AA$2,CEILING($F$1*IF($Y$10*$AD$10&gt;=$I$1,1,IF($Y$10*$AD$10&gt;=$H$1,0.5,0))*(1+IF($N$10=$D$1,IF($Y$10*$AD$10&gt;=$K$1,0,IF($Y$10*$AD$10&gt;=$J$1,0,0)),0))*$B11*$D11*$E11^(AA$2-1),0.01),0)</f>
        <v>0</v>
      </c>
      <c r="AB11" s="39">
        <f>IF(CEILING($B11*$D11/3,1)&gt;=AB$2,CEILING($F$1*IF($Y$10*$AD$10&gt;=$I$1,1,IF($Y$10*$AD$10&gt;=$H$1,0.5,0))*(1+IF($N$10=$D$1,IF($Y$10*$AD$10&gt;=$K$1,0,IF($Y$10*$AD$10&gt;=$J$1,0,0)),0))*$B11*$D11*$E11^(AB$2-1),0.01),0)</f>
        <v>0</v>
      </c>
      <c r="AC11" s="39">
        <f>IF(CEILING($B11*$D11/3,1)&gt;=AC$2,CEILING($F$1*IF($Y$10*$AD$10&gt;=$I$1,1,IF($Y$10*$AD$10&gt;=$H$1,0.5,0))*(1+IF($N$10=$D$1,IF($Y$10*$AD$10&gt;=$K$1,0,IF($Y$10*$AD$10&gt;=$J$1,0,0)),0))*$B11*$D11*$E11^(AC$2-1),0.01),0)</f>
        <v>0</v>
      </c>
      <c r="AD11" s="39">
        <f>IF(CEILING($B11*$D11/3,1)&gt;=AD$2,CEILING($F$1*IF($Y$10*$AD$10&gt;=$I$1,1,IF($Y$10*$AD$10&gt;=$H$1,0.5,0))*(1+IF($N$10=$D$1,IF($Y$10*$AD$10&gt;=$K$1,0,IF($Y$10*$AD$10&gt;=$J$1,0,0)),0))*$B11*$D11*$E11^(AD$2-1),0.01),0)</f>
        <v>0</v>
      </c>
      <c r="AE11" s="39">
        <f>IF(CEILING($B11*$D11/3,1)&gt;=AE$2,CEILING($F$1*IF($Y$10*$AD$10&gt;=$I$1,1,IF($Y$10*$AD$10&gt;=$H$1,0.5,0))*(1+IF($N$10=$D$1,IF($Y$10*$AD$10&gt;=$K$1,0,IF($Y$10*$AD$10&gt;=$J$1,0,0)),0))*$B11*$D11*$E11^(AE$2-1),0.01),0)</f>
        <v>0</v>
      </c>
      <c r="AF11" s="39">
        <f>IF(CEILING($B11*$D11/3,1)&gt;=AF$2,CEILING($F$1*IF($Y$10*$AD$10&gt;=$I$1,1,IF($Y$10*$AD$10&gt;=$H$1,0.5,0))*(1+IF($N$10=$D$1,IF($Y$10*$AD$10&gt;=$K$1,0,IF($Y$10*$AD$10&gt;=$J$1,0,0)),0))*$B11*$D11*$E11^(AF$2-1),0.01),0)</f>
        <v>0</v>
      </c>
      <c r="AG11" s="39">
        <f>IF(CEILING($B11*$D11/3,1)&gt;=AG$2,CEILING($F$1*IF($Y$10*$AD$10&gt;=$I$1,1,IF($Y$10*$AD$10&gt;=$H$1,0.5,0))*(1+IF($N$10=$D$1,IF($Y$10*$AD$10&gt;=$K$1,0,IF($Y$10*$AD$10&gt;=$J$1,0,0)),0))*$B11*$D11*$E11^(AG$2-1),0.01),0)</f>
        <v>0</v>
      </c>
      <c r="AH11" s="39">
        <f>IF(CEILING($B11*$D11/3,1)&gt;=AH$2,CEILING($F$1*IF($Y$10*$AD$10&gt;=$I$1,1,IF($Y$10*$AD$10&gt;=$H$1,0.5,0))*(1+IF($N$10=$D$1,IF($Y$10*$AD$10&gt;=$K$1,0,IF($Y$10*$AD$10&gt;=$J$1,0,0)),0))*$B11*$D11*$E11^(AH$2-1),0.01),0)</f>
        <v>0</v>
      </c>
      <c r="AI11" s="40">
        <f>IF(CEILING($B11*$D11/3,1)&gt;=AI$2,CEILING($F$1*IF($Y$10*$AD$10&gt;=$I$1,1,IF($Y$10*$AD$10&gt;=$H$1,0.5,0))*(1+IF($N$10=$D$1,IF($Y$10*$AD$10&gt;=$K$1,0,IF($Y$10*$AD$10&gt;=$J$1,0,0)),0))*$B11*$D11*$E11^(AI$2-1),0.01),0)</f>
        <v>0</v>
      </c>
    </row>
    <row r="12" spans="1:35" x14ac:dyDescent="0.25">
      <c r="A12" s="58">
        <v>2</v>
      </c>
      <c r="B12" s="60">
        <v>1</v>
      </c>
      <c r="C12" s="16">
        <v>0</v>
      </c>
      <c r="D12" s="67">
        <f>CEILING(1+MIN(Y$10,T$10-C12-1)+MAX((T$10-C12-1-Y$10)/$M$1,0),1)</f>
        <v>10</v>
      </c>
      <c r="E12" s="63">
        <f>MAX(($G$1/($F$1*D12))^(1/(ROUNDUP(D12/3,)-1)),2/3)</f>
        <v>0.66666666666666663</v>
      </c>
      <c r="F12" s="39">
        <f>IF(CEILING($B12*$D12/3,1)&gt;=F$2,CEILING($F$1*IF($Y$10*$AD$10&gt;=$I$1,1,IF($Y$10*$AD$10&gt;=$H$1,0.5,0))*(1+IF($N$10=$D$1,IF($Y$10*$AD$10&gt;=$K$1,0,IF($Y$10*$AD$10&gt;=$J$1,0,0)),0))*$B12*$D12*$E12^(F$2-1),0.01),0)</f>
        <v>1.5</v>
      </c>
      <c r="G12" s="39">
        <f>IF(CEILING($B12*$D12/3,1)&gt;=G$2,CEILING($F$1*IF($Y$10*$AD$10&gt;=$I$1,1,IF($Y$10*$AD$10&gt;=$H$1,0.5,0))*(1+IF($N$10=$D$1,IF($Y$10*$AD$10&gt;=$K$1,0,IF($Y$10*$AD$10&gt;=$J$1,0,0)),0))*$B12*$D12*$E12^(G$2-1),0.01),0)</f>
        <v>1</v>
      </c>
      <c r="H12" s="39">
        <f>IF(CEILING($B12*$D12/3,1)&gt;=H$2,CEILING($F$1*IF($Y$10*$AD$10&gt;=$I$1,1,IF($Y$10*$AD$10&gt;=$H$1,0.5,0))*(1+IF($N$10=$D$1,IF($Y$10*$AD$10&gt;=$K$1,0,IF($Y$10*$AD$10&gt;=$J$1,0,0)),0))*$B12*$D12*$E12^(H$2-1),0.01),0)</f>
        <v>0.67</v>
      </c>
      <c r="I12" s="39">
        <f>IF(CEILING($B12*$D12/3,1)&gt;=I$2,CEILING($F$1*IF($Y$10*$AD$10&gt;=$I$1,1,IF($Y$10*$AD$10&gt;=$H$1,0.5,0))*(1+IF($N$10=$D$1,IF($Y$10*$AD$10&gt;=$K$1,0,IF($Y$10*$AD$10&gt;=$J$1,0,0)),0))*$B12*$D12*$E12^(I$2-1),0.01),0)</f>
        <v>0.45</v>
      </c>
      <c r="J12" s="39">
        <f>IF(CEILING($B12*$D12/3,1)&gt;=J$2,CEILING($F$1*IF($Y$10*$AD$10&gt;=$I$1,1,IF($Y$10*$AD$10&gt;=$H$1,0.5,0))*(1+IF($N$10=$D$1,IF($Y$10*$AD$10&gt;=$K$1,0,IF($Y$10*$AD$10&gt;=$J$1,0,0)),0))*$B12*$D12*$E12^(J$2-1),0.01),0)</f>
        <v>0</v>
      </c>
      <c r="K12" s="39">
        <f>IF(CEILING($B12*$D12/3,1)&gt;=K$2,CEILING($F$1*IF($Y$10*$AD$10&gt;=$I$1,1,IF($Y$10*$AD$10&gt;=$H$1,0.5,0))*(1+IF($N$10=$D$1,IF($Y$10*$AD$10&gt;=$K$1,0,IF($Y$10*$AD$10&gt;=$J$1,0,0)),0))*$B12*$D12*$E12^(K$2-1),0.01),0)</f>
        <v>0</v>
      </c>
      <c r="L12" s="39">
        <f>IF(CEILING($B12*$D12/3,1)&gt;=L$2,CEILING($F$1*IF($Y$10*$AD$10&gt;=$I$1,1,IF($Y$10*$AD$10&gt;=$H$1,0.5,0))*(1+IF($N$10=$D$1,IF($Y$10*$AD$10&gt;=$K$1,0,IF($Y$10*$AD$10&gt;=$J$1,0,0)),0))*$B12*$D12*$E12^(L$2-1),0.01),0)</f>
        <v>0</v>
      </c>
      <c r="M12" s="39">
        <f>IF(CEILING($B12*$D12/3,1)&gt;=M$2,CEILING($F$1*IF($Y$10*$AD$10&gt;=$I$1,1,IF($Y$10*$AD$10&gt;=$H$1,0.5,0))*(1+IF($N$10=$D$1,IF($Y$10*$AD$10&gt;=$K$1,0,IF($Y$10*$AD$10&gt;=$J$1,0,0)),0))*$B12*$D12*$E12^(M$2-1),0.01),0)</f>
        <v>0</v>
      </c>
      <c r="N12" s="39">
        <f>IF(CEILING($B12*$D12/3,1)&gt;=N$2,CEILING($F$1*IF($Y$10*$AD$10&gt;=$I$1,1,IF($Y$10*$AD$10&gt;=$H$1,0.5,0))*(1+IF($N$10=$D$1,IF($Y$10*$AD$10&gt;=$K$1,0,IF($Y$10*$AD$10&gt;=$J$1,0,0)),0))*$B12*$D12*$E12^(N$2-1),0.01),0)</f>
        <v>0</v>
      </c>
      <c r="O12" s="39">
        <f>IF(CEILING($B12*$D12/3,1)&gt;=O$2,CEILING($F$1*IF($Y$10*$AD$10&gt;=$I$1,1,IF($Y$10*$AD$10&gt;=$H$1,0.5,0))*(1+IF($N$10=$D$1,IF($Y$10*$AD$10&gt;=$K$1,0,IF($Y$10*$AD$10&gt;=$J$1,0,0)),0))*$B12*$D12*$E12^(O$2-1),0.01),0)</f>
        <v>0</v>
      </c>
      <c r="P12" s="39">
        <f>IF(CEILING($B12*$D12/3,1)&gt;=P$2,CEILING($F$1*IF($Y$10*$AD$10&gt;=$I$1,1,IF($Y$10*$AD$10&gt;=$H$1,0.5,0))*(1+IF($N$10=$D$1,IF($Y$10*$AD$10&gt;=$K$1,0,IF($Y$10*$AD$10&gt;=$J$1,0,0)),0))*$B12*$D12*$E12^(P$2-1),0.01),0)</f>
        <v>0</v>
      </c>
      <c r="Q12" s="39">
        <f>IF(CEILING($B12*$D12/3,1)&gt;=Q$2,CEILING($F$1*IF($Y$10*$AD$10&gt;=$I$1,1,IF($Y$10*$AD$10&gt;=$H$1,0.5,0))*(1+IF($N$10=$D$1,IF($Y$10*$AD$10&gt;=$K$1,0,IF($Y$10*$AD$10&gt;=$J$1,0,0)),0))*$B12*$D12*$E12^(Q$2-1),0.01),0)</f>
        <v>0</v>
      </c>
      <c r="R12" s="39">
        <f>IF(CEILING($B12*$D12/3,1)&gt;=R$2,CEILING($F$1*IF($Y$10*$AD$10&gt;=$I$1,1,IF($Y$10*$AD$10&gt;=$H$1,0.5,0))*(1+IF($N$10=$D$1,IF($Y$10*$AD$10&gt;=$K$1,0,IF($Y$10*$AD$10&gt;=$J$1,0,0)),0))*$B12*$D12*$E12^(R$2-1),0.01),0)</f>
        <v>0</v>
      </c>
      <c r="S12" s="39">
        <f>IF(CEILING($B12*$D12/3,1)&gt;=S$2,CEILING($F$1*IF($Y$10*$AD$10&gt;=$I$1,1,IF($Y$10*$AD$10&gt;=$H$1,0.5,0))*(1+IF($N$10=$D$1,IF($Y$10*$AD$10&gt;=$K$1,0,IF($Y$10*$AD$10&gt;=$J$1,0,0)),0))*$B12*$D12*$E12^(S$2-1),0.01),0)</f>
        <v>0</v>
      </c>
      <c r="T12" s="39">
        <f>IF(CEILING($B12*$D12/3,1)&gt;=T$2,CEILING($F$1*IF($Y$10*$AD$10&gt;=$I$1,1,IF($Y$10*$AD$10&gt;=$H$1,0.5,0))*(1+IF($N$10=$D$1,IF($Y$10*$AD$10&gt;=$K$1,0,IF($Y$10*$AD$10&gt;=$J$1,0,0)),0))*$B12*$D12*$E12^(T$2-1),0.01),0)</f>
        <v>0</v>
      </c>
      <c r="U12" s="39">
        <f>IF(CEILING($B12*$D12/3,1)&gt;=U$2,CEILING($F$1*IF($Y$10*$AD$10&gt;=$I$1,1,IF($Y$10*$AD$10&gt;=$H$1,0.5,0))*(1+IF($N$10=$D$1,IF($Y$10*$AD$10&gt;=$K$1,0,IF($Y$10*$AD$10&gt;=$J$1,0,0)),0))*$B12*$D12*$E12^(U$2-1),0.01),0)</f>
        <v>0</v>
      </c>
      <c r="V12" s="39">
        <f>IF(CEILING($B12*$D12/3,1)&gt;=V$2,CEILING($F$1*IF($Y$10*$AD$10&gt;=$I$1,1,IF($Y$10*$AD$10&gt;=$H$1,0.5,0))*(1+IF($N$10=$D$1,IF($Y$10*$AD$10&gt;=$K$1,0,IF($Y$10*$AD$10&gt;=$J$1,0,0)),0))*$B12*$D12*$E12^(V$2-1),0.01),0)</f>
        <v>0</v>
      </c>
      <c r="W12" s="39">
        <f>IF(CEILING($B12*$D12/3,1)&gt;=W$2,CEILING($F$1*IF($Y$10*$AD$10&gt;=$I$1,1,IF($Y$10*$AD$10&gt;=$H$1,0.5,0))*(1+IF($N$10=$D$1,IF($Y$10*$AD$10&gt;=$K$1,0,IF($Y$10*$AD$10&gt;=$J$1,0,0)),0))*$B12*$D12*$E12^(W$2-1),0.01),0)</f>
        <v>0</v>
      </c>
      <c r="X12" s="39">
        <f>IF(CEILING($B12*$D12/3,1)&gt;=X$2,CEILING($F$1*IF($Y$10*$AD$10&gt;=$I$1,1,IF($Y$10*$AD$10&gt;=$H$1,0.5,0))*(1+IF($N$10=$D$1,IF($Y$10*$AD$10&gt;=$K$1,0,IF($Y$10*$AD$10&gt;=$J$1,0,0)),0))*$B12*$D12*$E12^(X$2-1),0.01),0)</f>
        <v>0</v>
      </c>
      <c r="Y12" s="39">
        <f>IF(CEILING($B12*$D12/3,1)&gt;=Y$2,CEILING($F$1*IF($Y$10*$AD$10&gt;=$I$1,1,IF($Y$10*$AD$10&gt;=$H$1,0.5,0))*(1+IF($N$10=$D$1,IF($Y$10*$AD$10&gt;=$K$1,0,IF($Y$10*$AD$10&gt;=$J$1,0,0)),0))*$B12*$D12*$E12^(Y$2-1),0.01),0)</f>
        <v>0</v>
      </c>
      <c r="Z12" s="39">
        <f>IF(CEILING($B12*$D12/3,1)&gt;=Z$2,CEILING($F$1*IF($Y$10*$AD$10&gt;=$I$1,1,IF($Y$10*$AD$10&gt;=$H$1,0.5,0))*(1+IF($N$10=$D$1,IF($Y$10*$AD$10&gt;=$K$1,0,IF($Y$10*$AD$10&gt;=$J$1,0,0)),0))*$B12*$D12*$E12^(Z$2-1),0.01),0)</f>
        <v>0</v>
      </c>
      <c r="AA12" s="39">
        <f>IF(CEILING($B12*$D12/3,1)&gt;=AA$2,CEILING($F$1*IF($Y$10*$AD$10&gt;=$I$1,1,IF($Y$10*$AD$10&gt;=$H$1,0.5,0))*(1+IF($N$10=$D$1,IF($Y$10*$AD$10&gt;=$K$1,0,IF($Y$10*$AD$10&gt;=$J$1,0,0)),0))*$B12*$D12*$E12^(AA$2-1),0.01),0)</f>
        <v>0</v>
      </c>
      <c r="AB12" s="39">
        <f>IF(CEILING($B12*$D12/3,1)&gt;=AB$2,CEILING($F$1*IF($Y$10*$AD$10&gt;=$I$1,1,IF($Y$10*$AD$10&gt;=$H$1,0.5,0))*(1+IF($N$10=$D$1,IF($Y$10*$AD$10&gt;=$K$1,0,IF($Y$10*$AD$10&gt;=$J$1,0,0)),0))*$B12*$D12*$E12^(AB$2-1),0.01),0)</f>
        <v>0</v>
      </c>
      <c r="AC12" s="39">
        <f>IF(CEILING($B12*$D12/3,1)&gt;=AC$2,CEILING($F$1*IF($Y$10*$AD$10&gt;=$I$1,1,IF($Y$10*$AD$10&gt;=$H$1,0.5,0))*(1+IF($N$10=$D$1,IF($Y$10*$AD$10&gt;=$K$1,0,IF($Y$10*$AD$10&gt;=$J$1,0,0)),0))*$B12*$D12*$E12^(AC$2-1),0.01),0)</f>
        <v>0</v>
      </c>
      <c r="AD12" s="39">
        <f>IF(CEILING($B12*$D12/3,1)&gt;=AD$2,CEILING($F$1*IF($Y$10*$AD$10&gt;=$I$1,1,IF($Y$10*$AD$10&gt;=$H$1,0.5,0))*(1+IF($N$10=$D$1,IF($Y$10*$AD$10&gt;=$K$1,0,IF($Y$10*$AD$10&gt;=$J$1,0,0)),0))*$B12*$D12*$E12^(AD$2-1),0.01),0)</f>
        <v>0</v>
      </c>
      <c r="AE12" s="39">
        <f>IF(CEILING($B12*$D12/3,1)&gt;=AE$2,CEILING($F$1*IF($Y$10*$AD$10&gt;=$I$1,1,IF($Y$10*$AD$10&gt;=$H$1,0.5,0))*(1+IF($N$10=$D$1,IF($Y$10*$AD$10&gt;=$K$1,0,IF($Y$10*$AD$10&gt;=$J$1,0,0)),0))*$B12*$D12*$E12^(AE$2-1),0.01),0)</f>
        <v>0</v>
      </c>
      <c r="AF12" s="39">
        <f>IF(CEILING($B12*$D12/3,1)&gt;=AF$2,CEILING($F$1*IF($Y$10*$AD$10&gt;=$I$1,1,IF($Y$10*$AD$10&gt;=$H$1,0.5,0))*(1+IF($N$10=$D$1,IF($Y$10*$AD$10&gt;=$K$1,0,IF($Y$10*$AD$10&gt;=$J$1,0,0)),0))*$B12*$D12*$E12^(AF$2-1),0.01),0)</f>
        <v>0</v>
      </c>
      <c r="AG12" s="39">
        <f>IF(CEILING($B12*$D12/3,1)&gt;=AG$2,CEILING($F$1*IF($Y$10*$AD$10&gt;=$I$1,1,IF($Y$10*$AD$10&gt;=$H$1,0.5,0))*(1+IF($N$10=$D$1,IF($Y$10*$AD$10&gt;=$K$1,0,IF($Y$10*$AD$10&gt;=$J$1,0,0)),0))*$B12*$D12*$E12^(AG$2-1),0.01),0)</f>
        <v>0</v>
      </c>
      <c r="AH12" s="39">
        <f>IF(CEILING($B12*$D12/3,1)&gt;=AH$2,CEILING($F$1*IF($Y$10*$AD$10&gt;=$I$1,1,IF($Y$10*$AD$10&gt;=$H$1,0.5,0))*(1+IF($N$10=$D$1,IF($Y$10*$AD$10&gt;=$K$1,0,IF($Y$10*$AD$10&gt;=$J$1,0,0)),0))*$B12*$D12*$E12^(AH$2-1),0.01),0)</f>
        <v>0</v>
      </c>
      <c r="AI12" s="40">
        <f>IF(CEILING($B12*$D12/3,1)&gt;=AI$2,CEILING($F$1*IF($Y$10*$AD$10&gt;=$I$1,1,IF($Y$10*$AD$10&gt;=$H$1,0.5,0))*(1+IF($N$10=$D$1,IF($Y$10*$AD$10&gt;=$K$1,0,IF($Y$10*$AD$10&gt;=$J$1,0,0)),0))*$B12*$D12*$E12^(AI$2-1),0.01),0)</f>
        <v>0</v>
      </c>
    </row>
    <row r="13" spans="1:35" x14ac:dyDescent="0.25">
      <c r="A13" s="58">
        <v>3</v>
      </c>
      <c r="B13" s="60">
        <v>0.85</v>
      </c>
      <c r="C13" s="16">
        <v>0</v>
      </c>
      <c r="D13" s="67">
        <f>CEILING(1+MIN(Y$10,T$10-C13-1)+MAX((T$10-C13-1-Y$10)/$M$1,0),1)</f>
        <v>10</v>
      </c>
      <c r="E13" s="63">
        <f>MAX(($G$1/($F$1*D13))^(1/(ROUNDUP(D13/3,)-1)),2/3)</f>
        <v>0.66666666666666663</v>
      </c>
      <c r="F13" s="39">
        <f>IF(CEILING($B13*$D13/3,1)&gt;=F$2,CEILING($F$1*IF($Y$10*$AD$10&gt;=$I$1,1,IF($Y$10*$AD$10&gt;=$H$1,0.5,0))*(1+IF($N$10=$D$1,IF($Y$10*$AD$10&gt;=$K$1,0,IF($Y$10*$AD$10&gt;=$J$1,0,0)),0))*$B13*$D13*$E13^(F$2-1),0.01),0)</f>
        <v>1.28</v>
      </c>
      <c r="G13" s="39">
        <f>IF(CEILING($B13*$D13/3,1)&gt;=G$2,CEILING($F$1*IF($Y$10*$AD$10&gt;=$I$1,1,IF($Y$10*$AD$10&gt;=$H$1,0.5,0))*(1+IF($N$10=$D$1,IF($Y$10*$AD$10&gt;=$K$1,0,IF($Y$10*$AD$10&gt;=$J$1,0,0)),0))*$B13*$D13*$E13^(G$2-1),0.01),0)</f>
        <v>0.85</v>
      </c>
      <c r="H13" s="39">
        <f>IF(CEILING($B13*$D13/3,1)&gt;=H$2,CEILING($F$1*IF($Y$10*$AD$10&gt;=$I$1,1,IF($Y$10*$AD$10&gt;=$H$1,0.5,0))*(1+IF($N$10=$D$1,IF($Y$10*$AD$10&gt;=$K$1,0,IF($Y$10*$AD$10&gt;=$J$1,0,0)),0))*$B13*$D13*$E13^(H$2-1),0.01),0)</f>
        <v>0.57000000000000006</v>
      </c>
      <c r="I13" s="39">
        <f>IF(CEILING($B13*$D13/3,1)&gt;=I$2,CEILING($F$1*IF($Y$10*$AD$10&gt;=$I$1,1,IF($Y$10*$AD$10&gt;=$H$1,0.5,0))*(1+IF($N$10=$D$1,IF($Y$10*$AD$10&gt;=$K$1,0,IF($Y$10*$AD$10&gt;=$J$1,0,0)),0))*$B13*$D13*$E13^(I$2-1),0.01),0)</f>
        <v>0</v>
      </c>
      <c r="J13" s="39">
        <f>IF(CEILING($B13*$D13/3,1)&gt;=J$2,CEILING($F$1*IF($Y$10*$AD$10&gt;=$I$1,1,IF($Y$10*$AD$10&gt;=$H$1,0.5,0))*(1+IF($N$10=$D$1,IF($Y$10*$AD$10&gt;=$K$1,0,IF($Y$10*$AD$10&gt;=$J$1,0,0)),0))*$B13*$D13*$E13^(J$2-1),0.01),0)</f>
        <v>0</v>
      </c>
      <c r="K13" s="39">
        <f>IF(CEILING($B13*$D13/3,1)&gt;=K$2,CEILING($F$1*IF($Y$10*$AD$10&gt;=$I$1,1,IF($Y$10*$AD$10&gt;=$H$1,0.5,0))*(1+IF($N$10=$D$1,IF($Y$10*$AD$10&gt;=$K$1,0,IF($Y$10*$AD$10&gt;=$J$1,0,0)),0))*$B13*$D13*$E13^(K$2-1),0.01),0)</f>
        <v>0</v>
      </c>
      <c r="L13" s="39">
        <f>IF(CEILING($B13*$D13/3,1)&gt;=L$2,CEILING($F$1*IF($Y$10*$AD$10&gt;=$I$1,1,IF($Y$10*$AD$10&gt;=$H$1,0.5,0))*(1+IF($N$10=$D$1,IF($Y$10*$AD$10&gt;=$K$1,0,IF($Y$10*$AD$10&gt;=$J$1,0,0)),0))*$B13*$D13*$E13^(L$2-1),0.01),0)</f>
        <v>0</v>
      </c>
      <c r="M13" s="39">
        <f>IF(CEILING($B13*$D13/3,1)&gt;=M$2,CEILING($F$1*IF($Y$10*$AD$10&gt;=$I$1,1,IF($Y$10*$AD$10&gt;=$H$1,0.5,0))*(1+IF($N$10=$D$1,IF($Y$10*$AD$10&gt;=$K$1,0,IF($Y$10*$AD$10&gt;=$J$1,0,0)),0))*$B13*$D13*$E13^(M$2-1),0.01),0)</f>
        <v>0</v>
      </c>
      <c r="N13" s="39">
        <f>IF(CEILING($B13*$D13/3,1)&gt;=N$2,CEILING($F$1*IF($Y$10*$AD$10&gt;=$I$1,1,IF($Y$10*$AD$10&gt;=$H$1,0.5,0))*(1+IF($N$10=$D$1,IF($Y$10*$AD$10&gt;=$K$1,0,IF($Y$10*$AD$10&gt;=$J$1,0,0)),0))*$B13*$D13*$E13^(N$2-1),0.01),0)</f>
        <v>0</v>
      </c>
      <c r="O13" s="39">
        <f>IF(CEILING($B13*$D13/3,1)&gt;=O$2,CEILING($F$1*IF($Y$10*$AD$10&gt;=$I$1,1,IF($Y$10*$AD$10&gt;=$H$1,0.5,0))*(1+IF($N$10=$D$1,IF($Y$10*$AD$10&gt;=$K$1,0,IF($Y$10*$AD$10&gt;=$J$1,0,0)),0))*$B13*$D13*$E13^(O$2-1),0.01),0)</f>
        <v>0</v>
      </c>
      <c r="P13" s="39">
        <f>IF(CEILING($B13*$D13/3,1)&gt;=P$2,CEILING($F$1*IF($Y$10*$AD$10&gt;=$I$1,1,IF($Y$10*$AD$10&gt;=$H$1,0.5,0))*(1+IF($N$10=$D$1,IF($Y$10*$AD$10&gt;=$K$1,0,IF($Y$10*$AD$10&gt;=$J$1,0,0)),0))*$B13*$D13*$E13^(P$2-1),0.01),0)</f>
        <v>0</v>
      </c>
      <c r="Q13" s="39">
        <f>IF(CEILING($B13*$D13/3,1)&gt;=Q$2,CEILING($F$1*IF($Y$10*$AD$10&gt;=$I$1,1,IF($Y$10*$AD$10&gt;=$H$1,0.5,0))*(1+IF($N$10=$D$1,IF($Y$10*$AD$10&gt;=$K$1,0,IF($Y$10*$AD$10&gt;=$J$1,0,0)),0))*$B13*$D13*$E13^(Q$2-1),0.01),0)</f>
        <v>0</v>
      </c>
      <c r="R13" s="39">
        <f>IF(CEILING($B13*$D13/3,1)&gt;=R$2,CEILING($F$1*IF($Y$10*$AD$10&gt;=$I$1,1,IF($Y$10*$AD$10&gt;=$H$1,0.5,0))*(1+IF($N$10=$D$1,IF($Y$10*$AD$10&gt;=$K$1,0,IF($Y$10*$AD$10&gt;=$J$1,0,0)),0))*$B13*$D13*$E13^(R$2-1),0.01),0)</f>
        <v>0</v>
      </c>
      <c r="S13" s="39">
        <f>IF(CEILING($B13*$D13/3,1)&gt;=S$2,CEILING($F$1*IF($Y$10*$AD$10&gt;=$I$1,1,IF($Y$10*$AD$10&gt;=$H$1,0.5,0))*(1+IF($N$10=$D$1,IF($Y$10*$AD$10&gt;=$K$1,0,IF($Y$10*$AD$10&gt;=$J$1,0,0)),0))*$B13*$D13*$E13^(S$2-1),0.01),0)</f>
        <v>0</v>
      </c>
      <c r="T13" s="39">
        <f>IF(CEILING($B13*$D13/3,1)&gt;=T$2,CEILING($F$1*IF($Y$10*$AD$10&gt;=$I$1,1,IF($Y$10*$AD$10&gt;=$H$1,0.5,0))*(1+IF($N$10=$D$1,IF($Y$10*$AD$10&gt;=$K$1,0,IF($Y$10*$AD$10&gt;=$J$1,0,0)),0))*$B13*$D13*$E13^(T$2-1),0.01),0)</f>
        <v>0</v>
      </c>
      <c r="U13" s="39">
        <f>IF(CEILING($B13*$D13/3,1)&gt;=U$2,CEILING($F$1*IF($Y$10*$AD$10&gt;=$I$1,1,IF($Y$10*$AD$10&gt;=$H$1,0.5,0))*(1+IF($N$10=$D$1,IF($Y$10*$AD$10&gt;=$K$1,0,IF($Y$10*$AD$10&gt;=$J$1,0,0)),0))*$B13*$D13*$E13^(U$2-1),0.01),0)</f>
        <v>0</v>
      </c>
      <c r="V13" s="39">
        <f>IF(CEILING($B13*$D13/3,1)&gt;=V$2,CEILING($F$1*IF($Y$10*$AD$10&gt;=$I$1,1,IF($Y$10*$AD$10&gt;=$H$1,0.5,0))*(1+IF($N$10=$D$1,IF($Y$10*$AD$10&gt;=$K$1,0,IF($Y$10*$AD$10&gt;=$J$1,0,0)),0))*$B13*$D13*$E13^(V$2-1),0.01),0)</f>
        <v>0</v>
      </c>
      <c r="W13" s="39">
        <f>IF(CEILING($B13*$D13/3,1)&gt;=W$2,CEILING($F$1*IF($Y$10*$AD$10&gt;=$I$1,1,IF($Y$10*$AD$10&gt;=$H$1,0.5,0))*(1+IF($N$10=$D$1,IF($Y$10*$AD$10&gt;=$K$1,0,IF($Y$10*$AD$10&gt;=$J$1,0,0)),0))*$B13*$D13*$E13^(W$2-1),0.01),0)</f>
        <v>0</v>
      </c>
      <c r="X13" s="39">
        <f>IF(CEILING($B13*$D13/3,1)&gt;=X$2,CEILING($F$1*IF($Y$10*$AD$10&gt;=$I$1,1,IF($Y$10*$AD$10&gt;=$H$1,0.5,0))*(1+IF($N$10=$D$1,IF($Y$10*$AD$10&gt;=$K$1,0,IF($Y$10*$AD$10&gt;=$J$1,0,0)),0))*$B13*$D13*$E13^(X$2-1),0.01),0)</f>
        <v>0</v>
      </c>
      <c r="Y13" s="39">
        <f>IF(CEILING($B13*$D13/3,1)&gt;=Y$2,CEILING($F$1*IF($Y$10*$AD$10&gt;=$I$1,1,IF($Y$10*$AD$10&gt;=$H$1,0.5,0))*(1+IF($N$10=$D$1,IF($Y$10*$AD$10&gt;=$K$1,0,IF($Y$10*$AD$10&gt;=$J$1,0,0)),0))*$B13*$D13*$E13^(Y$2-1),0.01),0)</f>
        <v>0</v>
      </c>
      <c r="Z13" s="39">
        <f>IF(CEILING($B13*$D13/3,1)&gt;=Z$2,CEILING($F$1*IF($Y$10*$AD$10&gt;=$I$1,1,IF($Y$10*$AD$10&gt;=$H$1,0.5,0))*(1+IF($N$10=$D$1,IF($Y$10*$AD$10&gt;=$K$1,0,IF($Y$10*$AD$10&gt;=$J$1,0,0)),0))*$B13*$D13*$E13^(Z$2-1),0.01),0)</f>
        <v>0</v>
      </c>
      <c r="AA13" s="39">
        <f>IF(CEILING($B13*$D13/3,1)&gt;=AA$2,CEILING($F$1*IF($Y$10*$AD$10&gt;=$I$1,1,IF($Y$10*$AD$10&gt;=$H$1,0.5,0))*(1+IF($N$10=$D$1,IF($Y$10*$AD$10&gt;=$K$1,0,IF($Y$10*$AD$10&gt;=$J$1,0,0)),0))*$B13*$D13*$E13^(AA$2-1),0.01),0)</f>
        <v>0</v>
      </c>
      <c r="AB13" s="39">
        <f>IF(CEILING($B13*$D13/3,1)&gt;=AB$2,CEILING($F$1*IF($Y$10*$AD$10&gt;=$I$1,1,IF($Y$10*$AD$10&gt;=$H$1,0.5,0))*(1+IF($N$10=$D$1,IF($Y$10*$AD$10&gt;=$K$1,0,IF($Y$10*$AD$10&gt;=$J$1,0,0)),0))*$B13*$D13*$E13^(AB$2-1),0.01),0)</f>
        <v>0</v>
      </c>
      <c r="AC13" s="39">
        <f>IF(CEILING($B13*$D13/3,1)&gt;=AC$2,CEILING($F$1*IF($Y$10*$AD$10&gt;=$I$1,1,IF($Y$10*$AD$10&gt;=$H$1,0.5,0))*(1+IF($N$10=$D$1,IF($Y$10*$AD$10&gt;=$K$1,0,IF($Y$10*$AD$10&gt;=$J$1,0,0)),0))*$B13*$D13*$E13^(AC$2-1),0.01),0)</f>
        <v>0</v>
      </c>
      <c r="AD13" s="39">
        <f>IF(CEILING($B13*$D13/3,1)&gt;=AD$2,CEILING($F$1*IF($Y$10*$AD$10&gt;=$I$1,1,IF($Y$10*$AD$10&gt;=$H$1,0.5,0))*(1+IF($N$10=$D$1,IF($Y$10*$AD$10&gt;=$K$1,0,IF($Y$10*$AD$10&gt;=$J$1,0,0)),0))*$B13*$D13*$E13^(AD$2-1),0.01),0)</f>
        <v>0</v>
      </c>
      <c r="AE13" s="39">
        <f>IF(CEILING($B13*$D13/3,1)&gt;=AE$2,CEILING($F$1*IF($Y$10*$AD$10&gt;=$I$1,1,IF($Y$10*$AD$10&gt;=$H$1,0.5,0))*(1+IF($N$10=$D$1,IF($Y$10*$AD$10&gt;=$K$1,0,IF($Y$10*$AD$10&gt;=$J$1,0,0)),0))*$B13*$D13*$E13^(AE$2-1),0.01),0)</f>
        <v>0</v>
      </c>
      <c r="AF13" s="39">
        <f>IF(CEILING($B13*$D13/3,1)&gt;=AF$2,CEILING($F$1*IF($Y$10*$AD$10&gt;=$I$1,1,IF($Y$10*$AD$10&gt;=$H$1,0.5,0))*(1+IF($N$10=$D$1,IF($Y$10*$AD$10&gt;=$K$1,0,IF($Y$10*$AD$10&gt;=$J$1,0,0)),0))*$B13*$D13*$E13^(AF$2-1),0.01),0)</f>
        <v>0</v>
      </c>
      <c r="AG13" s="39">
        <f>IF(CEILING($B13*$D13/3,1)&gt;=AG$2,CEILING($F$1*IF($Y$10*$AD$10&gt;=$I$1,1,IF($Y$10*$AD$10&gt;=$H$1,0.5,0))*(1+IF($N$10=$D$1,IF($Y$10*$AD$10&gt;=$K$1,0,IF($Y$10*$AD$10&gt;=$J$1,0,0)),0))*$B13*$D13*$E13^(AG$2-1),0.01),0)</f>
        <v>0</v>
      </c>
      <c r="AH13" s="39">
        <f>IF(CEILING($B13*$D13/3,1)&gt;=AH$2,CEILING($F$1*IF($Y$10*$AD$10&gt;=$I$1,1,IF($Y$10*$AD$10&gt;=$H$1,0.5,0))*(1+IF($N$10=$D$1,IF($Y$10*$AD$10&gt;=$K$1,0,IF($Y$10*$AD$10&gt;=$J$1,0,0)),0))*$B13*$D13*$E13^(AH$2-1),0.01),0)</f>
        <v>0</v>
      </c>
      <c r="AI13" s="40">
        <f>IF(CEILING($B13*$D13/3,1)&gt;=AI$2,CEILING($F$1*IF($Y$10*$AD$10&gt;=$I$1,1,IF($Y$10*$AD$10&gt;=$H$1,0.5,0))*(1+IF($N$10=$D$1,IF($Y$10*$AD$10&gt;=$K$1,0,IF($Y$10*$AD$10&gt;=$J$1,0,0)),0))*$B13*$D13*$E13^(AI$2-1),0.01),0)</f>
        <v>0</v>
      </c>
    </row>
    <row r="14" spans="1:35" x14ac:dyDescent="0.25">
      <c r="A14" s="58"/>
      <c r="B14" s="60"/>
      <c r="C14" s="6"/>
      <c r="D14" s="68"/>
      <c r="E14" s="64"/>
      <c r="F14" s="41"/>
      <c r="G14" s="41"/>
      <c r="H14" s="41"/>
      <c r="I14" s="41"/>
      <c r="J14" s="42"/>
      <c r="K14" s="42"/>
      <c r="L14" s="42"/>
      <c r="M14" s="42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3"/>
    </row>
    <row r="15" spans="1:35" x14ac:dyDescent="0.25">
      <c r="A15" s="58"/>
      <c r="B15" s="60"/>
      <c r="C15" s="6"/>
      <c r="D15" s="68"/>
      <c r="E15" s="64"/>
      <c r="F15" s="133" t="s">
        <v>11</v>
      </c>
      <c r="G15" s="134"/>
      <c r="H15" s="134"/>
      <c r="I15" s="36">
        <v>4</v>
      </c>
      <c r="J15" s="135" t="s">
        <v>3</v>
      </c>
      <c r="K15" s="135"/>
      <c r="L15" s="135"/>
      <c r="M15" s="135"/>
      <c r="N15" s="130" t="s">
        <v>5</v>
      </c>
      <c r="O15" s="130"/>
      <c r="P15" s="132" t="s">
        <v>1</v>
      </c>
      <c r="Q15" s="132"/>
      <c r="R15" s="132"/>
      <c r="S15" s="132"/>
      <c r="T15" s="15">
        <v>10</v>
      </c>
      <c r="U15" s="132" t="s">
        <v>2</v>
      </c>
      <c r="V15" s="132"/>
      <c r="W15" s="132"/>
      <c r="X15" s="132"/>
      <c r="Y15" s="15">
        <v>9</v>
      </c>
      <c r="Z15" s="132" t="s">
        <v>4</v>
      </c>
      <c r="AA15" s="132"/>
      <c r="AB15" s="132"/>
      <c r="AC15" s="132"/>
      <c r="AD15" s="15">
        <v>6</v>
      </c>
      <c r="AE15" s="37"/>
      <c r="AF15" s="37"/>
      <c r="AG15" s="37"/>
      <c r="AH15" s="37"/>
      <c r="AI15" s="38"/>
    </row>
    <row r="16" spans="1:35" x14ac:dyDescent="0.25">
      <c r="A16" s="58">
        <v>1</v>
      </c>
      <c r="B16" s="60">
        <v>1.1499999999999999</v>
      </c>
      <c r="C16" s="16">
        <v>0</v>
      </c>
      <c r="D16" s="67">
        <f>CEILING(1+MIN(Y$15,T$15-C16-1)+MAX((T$15-C16-1-Y$15)/$M$1,0),1)</f>
        <v>10</v>
      </c>
      <c r="E16" s="63">
        <f>MAX(($G$1/($F$1*D16))^(1/(ROUNDUP(D16/3,)-1)),2/3)</f>
        <v>0.66666666666666663</v>
      </c>
      <c r="F16" s="39">
        <f>IF(CEILING($B16*$D16/3,1)&gt;=F$2,CEILING($F$1*IF($Y$15*$AD$15&gt;=$I$1,1,IF($Y$15*$AD$15&gt;=$H$1,0.5,0))*(1+IF($N$15=$D$1,IF($Y$15*$AD$15&gt;=$K$1,0,IF($Y$15*$AD$15&gt;=$J$1,0,0)),0))*$B16*$D16*$E16^(F$2-1),0.01),0)</f>
        <v>1.73</v>
      </c>
      <c r="G16" s="39">
        <f>IF(CEILING($B16*$D16/3,1)&gt;=G$2,CEILING($F$1*IF($Y$15*$AD$15&gt;=$I$1,1,IF($Y$15*$AD$15&gt;=$H$1,0.5,0))*(1+IF($N$15=$D$1,IF($Y$15*$AD$15&gt;=$K$1,0,IF($Y$15*$AD$15&gt;=$J$1,0,0)),0))*$B16*$D16*$E16^(G$2-1),0.01),0)</f>
        <v>1.1500000000000001</v>
      </c>
      <c r="H16" s="39">
        <f>IF(CEILING($B16*$D16/3,1)&gt;=H$2,CEILING($F$1*IF($Y$15*$AD$15&gt;=$I$1,1,IF($Y$15*$AD$15&gt;=$H$1,0.5,0))*(1+IF($N$15=$D$1,IF($Y$15*$AD$15&gt;=$K$1,0,IF($Y$15*$AD$15&gt;=$J$1,0,0)),0))*$B16*$D16*$E16^(H$2-1),0.01),0)</f>
        <v>0.77</v>
      </c>
      <c r="I16" s="39">
        <f>IF(CEILING($B16*$D16/3,1)&gt;=I$2,CEILING($F$1*IF($Y$15*$AD$15&gt;=$I$1,1,IF($Y$15*$AD$15&gt;=$H$1,0.5,0))*(1+IF($N$15=$D$1,IF($Y$15*$AD$15&gt;=$K$1,0,IF($Y$15*$AD$15&gt;=$J$1,0,0)),0))*$B16*$D16*$E16^(I$2-1),0.01),0)</f>
        <v>0.52</v>
      </c>
      <c r="J16" s="39">
        <f>IF(CEILING($B16*$D16/3,1)&gt;=J$2,CEILING($F$1*IF($Y$15*$AD$15&gt;=$I$1,1,IF($Y$15*$AD$15&gt;=$H$1,0.5,0))*(1+IF($N$15=$D$1,IF($Y$15*$AD$15&gt;=$K$1,0,IF($Y$15*$AD$15&gt;=$J$1,0,0)),0))*$B16*$D16*$E16^(J$2-1),0.01),0)</f>
        <v>0</v>
      </c>
      <c r="K16" s="39">
        <f>IF(CEILING($B16*$D16/3,1)&gt;=K$2,CEILING($F$1*IF($Y$15*$AD$15&gt;=$I$1,1,IF($Y$15*$AD$15&gt;=$H$1,0.5,0))*(1+IF($N$15=$D$1,IF($Y$15*$AD$15&gt;=$K$1,0,IF($Y$15*$AD$15&gt;=$J$1,0,0)),0))*$B16*$D16*$E16^(K$2-1),0.01),0)</f>
        <v>0</v>
      </c>
      <c r="L16" s="39">
        <f>IF(CEILING($B16*$D16/3,1)&gt;=L$2,CEILING($F$1*IF($Y$15*$AD$15&gt;=$I$1,1,IF($Y$15*$AD$15&gt;=$H$1,0.5,0))*(1+IF($N$15=$D$1,IF($Y$15*$AD$15&gt;=$K$1,0,IF($Y$15*$AD$15&gt;=$J$1,0,0)),0))*$B16*$D16*$E16^(L$2-1),0.01),0)</f>
        <v>0</v>
      </c>
      <c r="M16" s="39">
        <f>IF(CEILING($B16*$D16/3,1)&gt;=M$2,CEILING($F$1*IF($Y$15*$AD$15&gt;=$I$1,1,IF($Y$15*$AD$15&gt;=$H$1,0.5,0))*(1+IF($N$15=$D$1,IF($Y$15*$AD$15&gt;=$K$1,0,IF($Y$15*$AD$15&gt;=$J$1,0,0)),0))*$B16*$D16*$E16^(M$2-1),0.01),0)</f>
        <v>0</v>
      </c>
      <c r="N16" s="39">
        <f>IF(CEILING($B16*$D16/3,1)&gt;=N$2,CEILING($F$1*IF($Y$15*$AD$15&gt;=$I$1,1,IF($Y$15*$AD$15&gt;=$H$1,0.5,0))*(1+IF($N$15=$D$1,IF($Y$15*$AD$15&gt;=$K$1,0,IF($Y$15*$AD$15&gt;=$J$1,0,0)),0))*$B16*$D16*$E16^(N$2-1),0.01),0)</f>
        <v>0</v>
      </c>
      <c r="O16" s="39">
        <f>IF(CEILING($B16*$D16/3,1)&gt;=O$2,CEILING($F$1*IF($Y$15*$AD$15&gt;=$I$1,1,IF($Y$15*$AD$15&gt;=$H$1,0.5,0))*(1+IF($N$15=$D$1,IF($Y$15*$AD$15&gt;=$K$1,0,IF($Y$15*$AD$15&gt;=$J$1,0,0)),0))*$B16*$D16*$E16^(O$2-1),0.01),0)</f>
        <v>0</v>
      </c>
      <c r="P16" s="39">
        <f>IF(CEILING($B16*$D16/3,1)&gt;=P$2,CEILING($F$1*IF($Y$15*$AD$15&gt;=$I$1,1,IF($Y$15*$AD$15&gt;=$H$1,0.5,0))*(1+IF($N$15=$D$1,IF($Y$15*$AD$15&gt;=$K$1,0,IF($Y$15*$AD$15&gt;=$J$1,0,0)),0))*$B16*$D16*$E16^(P$2-1),0.01),0)</f>
        <v>0</v>
      </c>
      <c r="Q16" s="39">
        <f>IF(CEILING($B16*$D16/3,1)&gt;=Q$2,CEILING($F$1*IF($Y$15*$AD$15&gt;=$I$1,1,IF($Y$15*$AD$15&gt;=$H$1,0.5,0))*(1+IF($N$15=$D$1,IF($Y$15*$AD$15&gt;=$K$1,0,IF($Y$15*$AD$15&gt;=$J$1,0,0)),0))*$B16*$D16*$E16^(Q$2-1),0.01),0)</f>
        <v>0</v>
      </c>
      <c r="R16" s="39">
        <f>IF(CEILING($B16*$D16/3,1)&gt;=R$2,CEILING($F$1*IF($Y$15*$AD$15&gt;=$I$1,1,IF($Y$15*$AD$15&gt;=$H$1,0.5,0))*(1+IF($N$15=$D$1,IF($Y$15*$AD$15&gt;=$K$1,0,IF($Y$15*$AD$15&gt;=$J$1,0,0)),0))*$B16*$D16*$E16^(R$2-1),0.01),0)</f>
        <v>0</v>
      </c>
      <c r="S16" s="39">
        <f>IF(CEILING($B16*$D16/3,1)&gt;=S$2,CEILING($F$1*IF($Y$15*$AD$15&gt;=$I$1,1,IF($Y$15*$AD$15&gt;=$H$1,0.5,0))*(1+IF($N$15=$D$1,IF($Y$15*$AD$15&gt;=$K$1,0,IF($Y$15*$AD$15&gt;=$J$1,0,0)),0))*$B16*$D16*$E16^(S$2-1),0.01),0)</f>
        <v>0</v>
      </c>
      <c r="T16" s="39">
        <f>IF(CEILING($B16*$D16/3,1)&gt;=T$2,CEILING($F$1*IF($Y$15*$AD$15&gt;=$I$1,1,IF($Y$15*$AD$15&gt;=$H$1,0.5,0))*(1+IF($N$15=$D$1,IF($Y$15*$AD$15&gt;=$K$1,0,IF($Y$15*$AD$15&gt;=$J$1,0,0)),0))*$B16*$D16*$E16^(T$2-1),0.01),0)</f>
        <v>0</v>
      </c>
      <c r="U16" s="39">
        <f>IF(CEILING($B16*$D16/3,1)&gt;=U$2,CEILING($F$1*IF($Y$15*$AD$15&gt;=$I$1,1,IF($Y$15*$AD$15&gt;=$H$1,0.5,0))*(1+IF($N$15=$D$1,IF($Y$15*$AD$15&gt;=$K$1,0,IF($Y$15*$AD$15&gt;=$J$1,0,0)),0))*$B16*$D16*$E16^(U$2-1),0.01),0)</f>
        <v>0</v>
      </c>
      <c r="V16" s="39">
        <f>IF(CEILING($B16*$D16/3,1)&gt;=V$2,CEILING($F$1*IF($Y$15*$AD$15&gt;=$I$1,1,IF($Y$15*$AD$15&gt;=$H$1,0.5,0))*(1+IF($N$15=$D$1,IF($Y$15*$AD$15&gt;=$K$1,0,IF($Y$15*$AD$15&gt;=$J$1,0,0)),0))*$B16*$D16*$E16^(V$2-1),0.01),0)</f>
        <v>0</v>
      </c>
      <c r="W16" s="39">
        <f>IF(CEILING($B16*$D16/3,1)&gt;=W$2,CEILING($F$1*IF($Y$15*$AD$15&gt;=$I$1,1,IF($Y$15*$AD$15&gt;=$H$1,0.5,0))*(1+IF($N$15=$D$1,IF($Y$15*$AD$15&gt;=$K$1,0,IF($Y$15*$AD$15&gt;=$J$1,0,0)),0))*$B16*$D16*$E16^(W$2-1),0.01),0)</f>
        <v>0</v>
      </c>
      <c r="X16" s="39">
        <f>IF(CEILING($B16*$D16/3,1)&gt;=X$2,CEILING($F$1*IF($Y$15*$AD$15&gt;=$I$1,1,IF($Y$15*$AD$15&gt;=$H$1,0.5,0))*(1+IF($N$15=$D$1,IF($Y$15*$AD$15&gt;=$K$1,0,IF($Y$15*$AD$15&gt;=$J$1,0,0)),0))*$B16*$D16*$E16^(X$2-1),0.01),0)</f>
        <v>0</v>
      </c>
      <c r="Y16" s="39">
        <f>IF(CEILING($B16*$D16/3,1)&gt;=Y$2,CEILING($F$1*IF($Y$15*$AD$15&gt;=$I$1,1,IF($Y$15*$AD$15&gt;=$H$1,0.5,0))*(1+IF($N$15=$D$1,IF($Y$15*$AD$15&gt;=$K$1,0,IF($Y$15*$AD$15&gt;=$J$1,0,0)),0))*$B16*$D16*$E16^(Y$2-1),0.01),0)</f>
        <v>0</v>
      </c>
      <c r="Z16" s="39">
        <f>IF(CEILING($B16*$D16/3,1)&gt;=Z$2,CEILING($F$1*IF($Y$15*$AD$15&gt;=$I$1,1,IF($Y$15*$AD$15&gt;=$H$1,0.5,0))*(1+IF($N$15=$D$1,IF($Y$15*$AD$15&gt;=$K$1,0,IF($Y$15*$AD$15&gt;=$J$1,0,0)),0))*$B16*$D16*$E16^(Z$2-1),0.01),0)</f>
        <v>0</v>
      </c>
      <c r="AA16" s="39">
        <f>IF(CEILING($B16*$D16/3,1)&gt;=AA$2,CEILING($F$1*IF($Y$15*$AD$15&gt;=$I$1,1,IF($Y$15*$AD$15&gt;=$H$1,0.5,0))*(1+IF($N$15=$D$1,IF($Y$15*$AD$15&gt;=$K$1,0,IF($Y$15*$AD$15&gt;=$J$1,0,0)),0))*$B16*$D16*$E16^(AA$2-1),0.01),0)</f>
        <v>0</v>
      </c>
      <c r="AB16" s="39">
        <f>IF(CEILING($B16*$D16/3,1)&gt;=AB$2,CEILING($F$1*IF($Y$15*$AD$15&gt;=$I$1,1,IF($Y$15*$AD$15&gt;=$H$1,0.5,0))*(1+IF($N$15=$D$1,IF($Y$15*$AD$15&gt;=$K$1,0,IF($Y$15*$AD$15&gt;=$J$1,0,0)),0))*$B16*$D16*$E16^(AB$2-1),0.01),0)</f>
        <v>0</v>
      </c>
      <c r="AC16" s="39">
        <f>IF(CEILING($B16*$D16/3,1)&gt;=AC$2,CEILING($F$1*IF($Y$15*$AD$15&gt;=$I$1,1,IF($Y$15*$AD$15&gt;=$H$1,0.5,0))*(1+IF($N$15=$D$1,IF($Y$15*$AD$15&gt;=$K$1,0,IF($Y$15*$AD$15&gt;=$J$1,0,0)),0))*$B16*$D16*$E16^(AC$2-1),0.01),0)</f>
        <v>0</v>
      </c>
      <c r="AD16" s="39">
        <f>IF(CEILING($B16*$D16/3,1)&gt;=AD$2,CEILING($F$1*IF($Y$15*$AD$15&gt;=$I$1,1,IF($Y$15*$AD$15&gt;=$H$1,0.5,0))*(1+IF($N$15=$D$1,IF($Y$15*$AD$15&gt;=$K$1,0,IF($Y$15*$AD$15&gt;=$J$1,0,0)),0))*$B16*$D16*$E16^(AD$2-1),0.01),0)</f>
        <v>0</v>
      </c>
      <c r="AE16" s="39">
        <f>IF(CEILING($B16*$D16/3,1)&gt;=AE$2,CEILING($F$1*IF($Y$15*$AD$15&gt;=$I$1,1,IF($Y$15*$AD$15&gt;=$H$1,0.5,0))*(1+IF($N$15=$D$1,IF($Y$15*$AD$15&gt;=$K$1,0,IF($Y$15*$AD$15&gt;=$J$1,0,0)),0))*$B16*$D16*$E16^(AE$2-1),0.01),0)</f>
        <v>0</v>
      </c>
      <c r="AF16" s="39">
        <f>IF(CEILING($B16*$D16/3,1)&gt;=AF$2,CEILING($F$1*IF($Y$15*$AD$15&gt;=$I$1,1,IF($Y$15*$AD$15&gt;=$H$1,0.5,0))*(1+IF($N$15=$D$1,IF($Y$15*$AD$15&gt;=$K$1,0,IF($Y$15*$AD$15&gt;=$J$1,0,0)),0))*$B16*$D16*$E16^(AF$2-1),0.01),0)</f>
        <v>0</v>
      </c>
      <c r="AG16" s="39">
        <f>IF(CEILING($B16*$D16/3,1)&gt;=AG$2,CEILING($F$1*IF($Y$15*$AD$15&gt;=$I$1,1,IF($Y$15*$AD$15&gt;=$H$1,0.5,0))*(1+IF($N$15=$D$1,IF($Y$15*$AD$15&gt;=$K$1,0,IF($Y$15*$AD$15&gt;=$J$1,0,0)),0))*$B16*$D16*$E16^(AG$2-1),0.01),0)</f>
        <v>0</v>
      </c>
      <c r="AH16" s="39">
        <f>IF(CEILING($B16*$D16/3,1)&gt;=AH$2,CEILING($F$1*IF($Y$15*$AD$15&gt;=$I$1,1,IF($Y$15*$AD$15&gt;=$H$1,0.5,0))*(1+IF($N$15=$D$1,IF($Y$15*$AD$15&gt;=$K$1,0,IF($Y$15*$AD$15&gt;=$J$1,0,0)),0))*$B16*$D16*$E16^(AH$2-1),0.01),0)</f>
        <v>0</v>
      </c>
      <c r="AI16" s="40">
        <f>IF(CEILING($B16*$D16/3,1)&gt;=AI$2,CEILING($F$1*IF($Y$15*$AD$15&gt;=$I$1,1,IF($Y$15*$AD$15&gt;=$H$1,0.5,0))*(1+IF($N$15=$D$1,IF($Y$15*$AD$15&gt;=$K$1,0,IF($Y$15*$AD$15&gt;=$J$1,0,0)),0))*$B16*$D16*$E16^(AI$2-1),0.01),0)</f>
        <v>0</v>
      </c>
    </row>
    <row r="17" spans="1:35" x14ac:dyDescent="0.25">
      <c r="A17" s="58">
        <v>2</v>
      </c>
      <c r="B17" s="60">
        <v>1.05</v>
      </c>
      <c r="C17" s="16">
        <v>0</v>
      </c>
      <c r="D17" s="67">
        <f>CEILING(1+MIN(Y$15,T$15-C17-1)+MAX((T$15-C17-1-Y$15)/$M$1,0),1)</f>
        <v>10</v>
      </c>
      <c r="E17" s="63">
        <f>MAX(($G$1/($F$1*D17))^(1/(ROUNDUP(D17/3,)-1)),2/3)</f>
        <v>0.66666666666666663</v>
      </c>
      <c r="F17" s="39">
        <f>IF(CEILING($B17*$D17/3,1)&gt;=F$2,CEILING($F$1*IF($Y$15*$AD$15&gt;=$I$1,1,IF($Y$15*$AD$15&gt;=$H$1,0.5,0))*(1+IF($N$15=$D$1,IF($Y$15*$AD$15&gt;=$K$1,0,IF($Y$15*$AD$15&gt;=$J$1,0,0)),0))*$B17*$D17*$E17^(F$2-1),0.01),0)</f>
        <v>1.58</v>
      </c>
      <c r="G17" s="39">
        <f>IF(CEILING($B17*$D17/3,1)&gt;=G$2,CEILING($F$1*IF($Y$15*$AD$15&gt;=$I$1,1,IF($Y$15*$AD$15&gt;=$H$1,0.5,0))*(1+IF($N$15=$D$1,IF($Y$15*$AD$15&gt;=$K$1,0,IF($Y$15*$AD$15&gt;=$J$1,0,0)),0))*$B17*$D17*$E17^(G$2-1),0.01),0)</f>
        <v>1.05</v>
      </c>
      <c r="H17" s="39">
        <f>IF(CEILING($B17*$D17/3,1)&gt;=H$2,CEILING($F$1*IF($Y$15*$AD$15&gt;=$I$1,1,IF($Y$15*$AD$15&gt;=$H$1,0.5,0))*(1+IF($N$15=$D$1,IF($Y$15*$AD$15&gt;=$K$1,0,IF($Y$15*$AD$15&gt;=$J$1,0,0)),0))*$B17*$D17*$E17^(H$2-1),0.01),0)</f>
        <v>0.70000000000000007</v>
      </c>
      <c r="I17" s="39">
        <f>IF(CEILING($B17*$D17/3,1)&gt;=I$2,CEILING($F$1*IF($Y$15*$AD$15&gt;=$I$1,1,IF($Y$15*$AD$15&gt;=$H$1,0.5,0))*(1+IF($N$15=$D$1,IF($Y$15*$AD$15&gt;=$K$1,0,IF($Y$15*$AD$15&gt;=$J$1,0,0)),0))*$B17*$D17*$E17^(I$2-1),0.01),0)</f>
        <v>0.47000000000000003</v>
      </c>
      <c r="J17" s="39">
        <f>IF(CEILING($B17*$D17/3,1)&gt;=J$2,CEILING($F$1*IF($Y$15*$AD$15&gt;=$I$1,1,IF($Y$15*$AD$15&gt;=$H$1,0.5,0))*(1+IF($N$15=$D$1,IF($Y$15*$AD$15&gt;=$K$1,0,IF($Y$15*$AD$15&gt;=$J$1,0,0)),0))*$B17*$D17*$E17^(J$2-1),0.01),0)</f>
        <v>0</v>
      </c>
      <c r="K17" s="39">
        <f>IF(CEILING($B17*$D17/3,1)&gt;=K$2,CEILING($F$1*IF($Y$15*$AD$15&gt;=$I$1,1,IF($Y$15*$AD$15&gt;=$H$1,0.5,0))*(1+IF($N$15=$D$1,IF($Y$15*$AD$15&gt;=$K$1,0,IF($Y$15*$AD$15&gt;=$J$1,0,0)),0))*$B17*$D17*$E17^(K$2-1),0.01),0)</f>
        <v>0</v>
      </c>
      <c r="L17" s="39">
        <f>IF(CEILING($B17*$D17/3,1)&gt;=L$2,CEILING($F$1*IF($Y$15*$AD$15&gt;=$I$1,1,IF($Y$15*$AD$15&gt;=$H$1,0.5,0))*(1+IF($N$15=$D$1,IF($Y$15*$AD$15&gt;=$K$1,0,IF($Y$15*$AD$15&gt;=$J$1,0,0)),0))*$B17*$D17*$E17^(L$2-1),0.01),0)</f>
        <v>0</v>
      </c>
      <c r="M17" s="39">
        <f>IF(CEILING($B17*$D17/3,1)&gt;=M$2,CEILING($F$1*IF($Y$15*$AD$15&gt;=$I$1,1,IF($Y$15*$AD$15&gt;=$H$1,0.5,0))*(1+IF($N$15=$D$1,IF($Y$15*$AD$15&gt;=$K$1,0,IF($Y$15*$AD$15&gt;=$J$1,0,0)),0))*$B17*$D17*$E17^(M$2-1),0.01),0)</f>
        <v>0</v>
      </c>
      <c r="N17" s="39">
        <f>IF(CEILING($B17*$D17/3,1)&gt;=N$2,CEILING($F$1*IF($Y$15*$AD$15&gt;=$I$1,1,IF($Y$15*$AD$15&gt;=$H$1,0.5,0))*(1+IF($N$15=$D$1,IF($Y$15*$AD$15&gt;=$K$1,0,IF($Y$15*$AD$15&gt;=$J$1,0,0)),0))*$B17*$D17*$E17^(N$2-1),0.01),0)</f>
        <v>0</v>
      </c>
      <c r="O17" s="39">
        <f>IF(CEILING($B17*$D17/3,1)&gt;=O$2,CEILING($F$1*IF($Y$15*$AD$15&gt;=$I$1,1,IF($Y$15*$AD$15&gt;=$H$1,0.5,0))*(1+IF($N$15=$D$1,IF($Y$15*$AD$15&gt;=$K$1,0,IF($Y$15*$AD$15&gt;=$J$1,0,0)),0))*$B17*$D17*$E17^(O$2-1),0.01),0)</f>
        <v>0</v>
      </c>
      <c r="P17" s="39">
        <f>IF(CEILING($B17*$D17/3,1)&gt;=P$2,CEILING($F$1*IF($Y$15*$AD$15&gt;=$I$1,1,IF($Y$15*$AD$15&gt;=$H$1,0.5,0))*(1+IF($N$15=$D$1,IF($Y$15*$AD$15&gt;=$K$1,0,IF($Y$15*$AD$15&gt;=$J$1,0,0)),0))*$B17*$D17*$E17^(P$2-1),0.01),0)</f>
        <v>0</v>
      </c>
      <c r="Q17" s="39">
        <f>IF(CEILING($B17*$D17/3,1)&gt;=Q$2,CEILING($F$1*IF($Y$15*$AD$15&gt;=$I$1,1,IF($Y$15*$AD$15&gt;=$H$1,0.5,0))*(1+IF($N$15=$D$1,IF($Y$15*$AD$15&gt;=$K$1,0,IF($Y$15*$AD$15&gt;=$J$1,0,0)),0))*$B17*$D17*$E17^(Q$2-1),0.01),0)</f>
        <v>0</v>
      </c>
      <c r="R17" s="39">
        <f>IF(CEILING($B17*$D17/3,1)&gt;=R$2,CEILING($F$1*IF($Y$15*$AD$15&gt;=$I$1,1,IF($Y$15*$AD$15&gt;=$H$1,0.5,0))*(1+IF($N$15=$D$1,IF($Y$15*$AD$15&gt;=$K$1,0,IF($Y$15*$AD$15&gt;=$J$1,0,0)),0))*$B17*$D17*$E17^(R$2-1),0.01),0)</f>
        <v>0</v>
      </c>
      <c r="S17" s="39">
        <f>IF(CEILING($B17*$D17/3,1)&gt;=S$2,CEILING($F$1*IF($Y$15*$AD$15&gt;=$I$1,1,IF($Y$15*$AD$15&gt;=$H$1,0.5,0))*(1+IF($N$15=$D$1,IF($Y$15*$AD$15&gt;=$K$1,0,IF($Y$15*$AD$15&gt;=$J$1,0,0)),0))*$B17*$D17*$E17^(S$2-1),0.01),0)</f>
        <v>0</v>
      </c>
      <c r="T17" s="39">
        <f>IF(CEILING($B17*$D17/3,1)&gt;=T$2,CEILING($F$1*IF($Y$15*$AD$15&gt;=$I$1,1,IF($Y$15*$AD$15&gt;=$H$1,0.5,0))*(1+IF($N$15=$D$1,IF($Y$15*$AD$15&gt;=$K$1,0,IF($Y$15*$AD$15&gt;=$J$1,0,0)),0))*$B17*$D17*$E17^(T$2-1),0.01),0)</f>
        <v>0</v>
      </c>
      <c r="U17" s="39">
        <f>IF(CEILING($B17*$D17/3,1)&gt;=U$2,CEILING($F$1*IF($Y$15*$AD$15&gt;=$I$1,1,IF($Y$15*$AD$15&gt;=$H$1,0.5,0))*(1+IF($N$15=$D$1,IF($Y$15*$AD$15&gt;=$K$1,0,IF($Y$15*$AD$15&gt;=$J$1,0,0)),0))*$B17*$D17*$E17^(U$2-1),0.01),0)</f>
        <v>0</v>
      </c>
      <c r="V17" s="39">
        <f>IF(CEILING($B17*$D17/3,1)&gt;=V$2,CEILING($F$1*IF($Y$15*$AD$15&gt;=$I$1,1,IF($Y$15*$AD$15&gt;=$H$1,0.5,0))*(1+IF($N$15=$D$1,IF($Y$15*$AD$15&gt;=$K$1,0,IF($Y$15*$AD$15&gt;=$J$1,0,0)),0))*$B17*$D17*$E17^(V$2-1),0.01),0)</f>
        <v>0</v>
      </c>
      <c r="W17" s="39">
        <f>IF(CEILING($B17*$D17/3,1)&gt;=W$2,CEILING($F$1*IF($Y$15*$AD$15&gt;=$I$1,1,IF($Y$15*$AD$15&gt;=$H$1,0.5,0))*(1+IF($N$15=$D$1,IF($Y$15*$AD$15&gt;=$K$1,0,IF($Y$15*$AD$15&gt;=$J$1,0,0)),0))*$B17*$D17*$E17^(W$2-1),0.01),0)</f>
        <v>0</v>
      </c>
      <c r="X17" s="39">
        <f>IF(CEILING($B17*$D17/3,1)&gt;=X$2,CEILING($F$1*IF($Y$15*$AD$15&gt;=$I$1,1,IF($Y$15*$AD$15&gt;=$H$1,0.5,0))*(1+IF($N$15=$D$1,IF($Y$15*$AD$15&gt;=$K$1,0,IF($Y$15*$AD$15&gt;=$J$1,0,0)),0))*$B17*$D17*$E17^(X$2-1),0.01),0)</f>
        <v>0</v>
      </c>
      <c r="Y17" s="39">
        <f>IF(CEILING($B17*$D17/3,1)&gt;=Y$2,CEILING($F$1*IF($Y$15*$AD$15&gt;=$I$1,1,IF($Y$15*$AD$15&gt;=$H$1,0.5,0))*(1+IF($N$15=$D$1,IF($Y$15*$AD$15&gt;=$K$1,0,IF($Y$15*$AD$15&gt;=$J$1,0,0)),0))*$B17*$D17*$E17^(Y$2-1),0.01),0)</f>
        <v>0</v>
      </c>
      <c r="Z17" s="39">
        <f>IF(CEILING($B17*$D17/3,1)&gt;=Z$2,CEILING($F$1*IF($Y$15*$AD$15&gt;=$I$1,1,IF($Y$15*$AD$15&gt;=$H$1,0.5,0))*(1+IF($N$15=$D$1,IF($Y$15*$AD$15&gt;=$K$1,0,IF($Y$15*$AD$15&gt;=$J$1,0,0)),0))*$B17*$D17*$E17^(Z$2-1),0.01),0)</f>
        <v>0</v>
      </c>
      <c r="AA17" s="39">
        <f>IF(CEILING($B17*$D17/3,1)&gt;=AA$2,CEILING($F$1*IF($Y$15*$AD$15&gt;=$I$1,1,IF($Y$15*$AD$15&gt;=$H$1,0.5,0))*(1+IF($N$15=$D$1,IF($Y$15*$AD$15&gt;=$K$1,0,IF($Y$15*$AD$15&gt;=$J$1,0,0)),0))*$B17*$D17*$E17^(AA$2-1),0.01),0)</f>
        <v>0</v>
      </c>
      <c r="AB17" s="39">
        <f>IF(CEILING($B17*$D17/3,1)&gt;=AB$2,CEILING($F$1*IF($Y$15*$AD$15&gt;=$I$1,1,IF($Y$15*$AD$15&gt;=$H$1,0.5,0))*(1+IF($N$15=$D$1,IF($Y$15*$AD$15&gt;=$K$1,0,IF($Y$15*$AD$15&gt;=$J$1,0,0)),0))*$B17*$D17*$E17^(AB$2-1),0.01),0)</f>
        <v>0</v>
      </c>
      <c r="AC17" s="39">
        <f>IF(CEILING($B17*$D17/3,1)&gt;=AC$2,CEILING($F$1*IF($Y$15*$AD$15&gt;=$I$1,1,IF($Y$15*$AD$15&gt;=$H$1,0.5,0))*(1+IF($N$15=$D$1,IF($Y$15*$AD$15&gt;=$K$1,0,IF($Y$15*$AD$15&gt;=$J$1,0,0)),0))*$B17*$D17*$E17^(AC$2-1),0.01),0)</f>
        <v>0</v>
      </c>
      <c r="AD17" s="39">
        <f>IF(CEILING($B17*$D17/3,1)&gt;=AD$2,CEILING($F$1*IF($Y$15*$AD$15&gt;=$I$1,1,IF($Y$15*$AD$15&gt;=$H$1,0.5,0))*(1+IF($N$15=$D$1,IF($Y$15*$AD$15&gt;=$K$1,0,IF($Y$15*$AD$15&gt;=$J$1,0,0)),0))*$B17*$D17*$E17^(AD$2-1),0.01),0)</f>
        <v>0</v>
      </c>
      <c r="AE17" s="39">
        <f>IF(CEILING($B17*$D17/3,1)&gt;=AE$2,CEILING($F$1*IF($Y$15*$AD$15&gt;=$I$1,1,IF($Y$15*$AD$15&gt;=$H$1,0.5,0))*(1+IF($N$15=$D$1,IF($Y$15*$AD$15&gt;=$K$1,0,IF($Y$15*$AD$15&gt;=$J$1,0,0)),0))*$B17*$D17*$E17^(AE$2-1),0.01),0)</f>
        <v>0</v>
      </c>
      <c r="AF17" s="39">
        <f>IF(CEILING($B17*$D17/3,1)&gt;=AF$2,CEILING($F$1*IF($Y$15*$AD$15&gt;=$I$1,1,IF($Y$15*$AD$15&gt;=$H$1,0.5,0))*(1+IF($N$15=$D$1,IF($Y$15*$AD$15&gt;=$K$1,0,IF($Y$15*$AD$15&gt;=$J$1,0,0)),0))*$B17*$D17*$E17^(AF$2-1),0.01),0)</f>
        <v>0</v>
      </c>
      <c r="AG17" s="39">
        <f>IF(CEILING($B17*$D17/3,1)&gt;=AG$2,CEILING($F$1*IF($Y$15*$AD$15&gt;=$I$1,1,IF($Y$15*$AD$15&gt;=$H$1,0.5,0))*(1+IF($N$15=$D$1,IF($Y$15*$AD$15&gt;=$K$1,0,IF($Y$15*$AD$15&gt;=$J$1,0,0)),0))*$B17*$D17*$E17^(AG$2-1),0.01),0)</f>
        <v>0</v>
      </c>
      <c r="AH17" s="39">
        <f>IF(CEILING($B17*$D17/3,1)&gt;=AH$2,CEILING($F$1*IF($Y$15*$AD$15&gt;=$I$1,1,IF($Y$15*$AD$15&gt;=$H$1,0.5,0))*(1+IF($N$15=$D$1,IF($Y$15*$AD$15&gt;=$K$1,0,IF($Y$15*$AD$15&gt;=$J$1,0,0)),0))*$B17*$D17*$E17^(AH$2-1),0.01),0)</f>
        <v>0</v>
      </c>
      <c r="AI17" s="40">
        <f>IF(CEILING($B17*$D17/3,1)&gt;=AI$2,CEILING($F$1*IF($Y$15*$AD$15&gt;=$I$1,1,IF($Y$15*$AD$15&gt;=$H$1,0.5,0))*(1+IF($N$15=$D$1,IF($Y$15*$AD$15&gt;=$K$1,0,IF($Y$15*$AD$15&gt;=$J$1,0,0)),0))*$B17*$D17*$E17^(AI$2-1),0.01),0)</f>
        <v>0</v>
      </c>
    </row>
    <row r="18" spans="1:35" x14ac:dyDescent="0.25">
      <c r="A18" s="58">
        <v>3</v>
      </c>
      <c r="B18" s="60">
        <v>0.95</v>
      </c>
      <c r="C18" s="16">
        <v>0</v>
      </c>
      <c r="D18" s="67">
        <f>CEILING(1+MIN(Y$15,T$15-C18-1)+MAX((T$15-C18-1-Y$15)/$M$1,0),1)</f>
        <v>10</v>
      </c>
      <c r="E18" s="63">
        <f>MAX(($G$1/($F$1*D18))^(1/(ROUNDUP(D18/3,)-1)),2/3)</f>
        <v>0.66666666666666663</v>
      </c>
      <c r="F18" s="39">
        <f>IF(CEILING($B18*$D18/3,1)&gt;=F$2,CEILING($F$1*IF($Y$15*$AD$15&gt;=$I$1,1,IF($Y$15*$AD$15&gt;=$H$1,0.5,0))*(1+IF($N$15=$D$1,IF($Y$15*$AD$15&gt;=$K$1,0,IF($Y$15*$AD$15&gt;=$J$1,0,0)),0))*$B18*$D18*$E18^(F$2-1),0.01),0)</f>
        <v>1.43</v>
      </c>
      <c r="G18" s="39">
        <f>IF(CEILING($B18*$D18/3,1)&gt;=G$2,CEILING($F$1*IF($Y$15*$AD$15&gt;=$I$1,1,IF($Y$15*$AD$15&gt;=$H$1,0.5,0))*(1+IF($N$15=$D$1,IF($Y$15*$AD$15&gt;=$K$1,0,IF($Y$15*$AD$15&gt;=$J$1,0,0)),0))*$B18*$D18*$E18^(G$2-1),0.01),0)</f>
        <v>0.95000000000000007</v>
      </c>
      <c r="H18" s="39">
        <f>IF(CEILING($B18*$D18/3,1)&gt;=H$2,CEILING($F$1*IF($Y$15*$AD$15&gt;=$I$1,1,IF($Y$15*$AD$15&gt;=$H$1,0.5,0))*(1+IF($N$15=$D$1,IF($Y$15*$AD$15&gt;=$K$1,0,IF($Y$15*$AD$15&gt;=$J$1,0,0)),0))*$B18*$D18*$E18^(H$2-1),0.01),0)</f>
        <v>0.64</v>
      </c>
      <c r="I18" s="39">
        <f>IF(CEILING($B18*$D18/3,1)&gt;=I$2,CEILING($F$1*IF($Y$15*$AD$15&gt;=$I$1,1,IF($Y$15*$AD$15&gt;=$H$1,0.5,0))*(1+IF($N$15=$D$1,IF($Y$15*$AD$15&gt;=$K$1,0,IF($Y$15*$AD$15&gt;=$J$1,0,0)),0))*$B18*$D18*$E18^(I$2-1),0.01),0)</f>
        <v>0.43</v>
      </c>
      <c r="J18" s="39">
        <f>IF(CEILING($B18*$D18/3,1)&gt;=J$2,CEILING($F$1*IF($Y$15*$AD$15&gt;=$I$1,1,IF($Y$15*$AD$15&gt;=$H$1,0.5,0))*(1+IF($N$15=$D$1,IF($Y$15*$AD$15&gt;=$K$1,0,IF($Y$15*$AD$15&gt;=$J$1,0,0)),0))*$B18*$D18*$E18^(J$2-1),0.01),0)</f>
        <v>0</v>
      </c>
      <c r="K18" s="39">
        <f>IF(CEILING($B18*$D18/3,1)&gt;=K$2,CEILING($F$1*IF($Y$15*$AD$15&gt;=$I$1,1,IF($Y$15*$AD$15&gt;=$H$1,0.5,0))*(1+IF($N$15=$D$1,IF($Y$15*$AD$15&gt;=$K$1,0,IF($Y$15*$AD$15&gt;=$J$1,0,0)),0))*$B18*$D18*$E18^(K$2-1),0.01),0)</f>
        <v>0</v>
      </c>
      <c r="L18" s="39">
        <f>IF(CEILING($B18*$D18/3,1)&gt;=L$2,CEILING($F$1*IF($Y$15*$AD$15&gt;=$I$1,1,IF($Y$15*$AD$15&gt;=$H$1,0.5,0))*(1+IF($N$15=$D$1,IF($Y$15*$AD$15&gt;=$K$1,0,IF($Y$15*$AD$15&gt;=$J$1,0,0)),0))*$B18*$D18*$E18^(L$2-1),0.01),0)</f>
        <v>0</v>
      </c>
      <c r="M18" s="39">
        <f>IF(CEILING($B18*$D18/3,1)&gt;=M$2,CEILING($F$1*IF($Y$15*$AD$15&gt;=$I$1,1,IF($Y$15*$AD$15&gt;=$H$1,0.5,0))*(1+IF($N$15=$D$1,IF($Y$15*$AD$15&gt;=$K$1,0,IF($Y$15*$AD$15&gt;=$J$1,0,0)),0))*$B18*$D18*$E18^(M$2-1),0.01),0)</f>
        <v>0</v>
      </c>
      <c r="N18" s="39">
        <f>IF(CEILING($B18*$D18/3,1)&gt;=N$2,CEILING($F$1*IF($Y$15*$AD$15&gt;=$I$1,1,IF($Y$15*$AD$15&gt;=$H$1,0.5,0))*(1+IF($N$15=$D$1,IF($Y$15*$AD$15&gt;=$K$1,0,IF($Y$15*$AD$15&gt;=$J$1,0,0)),0))*$B18*$D18*$E18^(N$2-1),0.01),0)</f>
        <v>0</v>
      </c>
      <c r="O18" s="39">
        <f>IF(CEILING($B18*$D18/3,1)&gt;=O$2,CEILING($F$1*IF($Y$15*$AD$15&gt;=$I$1,1,IF($Y$15*$AD$15&gt;=$H$1,0.5,0))*(1+IF($N$15=$D$1,IF($Y$15*$AD$15&gt;=$K$1,0,IF($Y$15*$AD$15&gt;=$J$1,0,0)),0))*$B18*$D18*$E18^(O$2-1),0.01),0)</f>
        <v>0</v>
      </c>
      <c r="P18" s="39">
        <f>IF(CEILING($B18*$D18/3,1)&gt;=P$2,CEILING($F$1*IF($Y$15*$AD$15&gt;=$I$1,1,IF($Y$15*$AD$15&gt;=$H$1,0.5,0))*(1+IF($N$15=$D$1,IF($Y$15*$AD$15&gt;=$K$1,0,IF($Y$15*$AD$15&gt;=$J$1,0,0)),0))*$B18*$D18*$E18^(P$2-1),0.01),0)</f>
        <v>0</v>
      </c>
      <c r="Q18" s="39">
        <f>IF(CEILING($B18*$D18/3,1)&gt;=Q$2,CEILING($F$1*IF($Y$15*$AD$15&gt;=$I$1,1,IF($Y$15*$AD$15&gt;=$H$1,0.5,0))*(1+IF($N$15=$D$1,IF($Y$15*$AD$15&gt;=$K$1,0,IF($Y$15*$AD$15&gt;=$J$1,0,0)),0))*$B18*$D18*$E18^(Q$2-1),0.01),0)</f>
        <v>0</v>
      </c>
      <c r="R18" s="39">
        <f>IF(CEILING($B18*$D18/3,1)&gt;=R$2,CEILING($F$1*IF($Y$15*$AD$15&gt;=$I$1,1,IF($Y$15*$AD$15&gt;=$H$1,0.5,0))*(1+IF($N$15=$D$1,IF($Y$15*$AD$15&gt;=$K$1,0,IF($Y$15*$AD$15&gt;=$J$1,0,0)),0))*$B18*$D18*$E18^(R$2-1),0.01),0)</f>
        <v>0</v>
      </c>
      <c r="S18" s="39">
        <f>IF(CEILING($B18*$D18/3,1)&gt;=S$2,CEILING($F$1*IF($Y$15*$AD$15&gt;=$I$1,1,IF($Y$15*$AD$15&gt;=$H$1,0.5,0))*(1+IF($N$15=$D$1,IF($Y$15*$AD$15&gt;=$K$1,0,IF($Y$15*$AD$15&gt;=$J$1,0,0)),0))*$B18*$D18*$E18^(S$2-1),0.01),0)</f>
        <v>0</v>
      </c>
      <c r="T18" s="39">
        <f>IF(CEILING($B18*$D18/3,1)&gt;=T$2,CEILING($F$1*IF($Y$15*$AD$15&gt;=$I$1,1,IF($Y$15*$AD$15&gt;=$H$1,0.5,0))*(1+IF($N$15=$D$1,IF($Y$15*$AD$15&gt;=$K$1,0,IF($Y$15*$AD$15&gt;=$J$1,0,0)),0))*$B18*$D18*$E18^(T$2-1),0.01),0)</f>
        <v>0</v>
      </c>
      <c r="U18" s="39">
        <f>IF(CEILING($B18*$D18/3,1)&gt;=U$2,CEILING($F$1*IF($Y$15*$AD$15&gt;=$I$1,1,IF($Y$15*$AD$15&gt;=$H$1,0.5,0))*(1+IF($N$15=$D$1,IF($Y$15*$AD$15&gt;=$K$1,0,IF($Y$15*$AD$15&gt;=$J$1,0,0)),0))*$B18*$D18*$E18^(U$2-1),0.01),0)</f>
        <v>0</v>
      </c>
      <c r="V18" s="39">
        <f>IF(CEILING($B18*$D18/3,1)&gt;=V$2,CEILING($F$1*IF($Y$15*$AD$15&gt;=$I$1,1,IF($Y$15*$AD$15&gt;=$H$1,0.5,0))*(1+IF($N$15=$D$1,IF($Y$15*$AD$15&gt;=$K$1,0,IF($Y$15*$AD$15&gt;=$J$1,0,0)),0))*$B18*$D18*$E18^(V$2-1),0.01),0)</f>
        <v>0</v>
      </c>
      <c r="W18" s="39">
        <f>IF(CEILING($B18*$D18/3,1)&gt;=W$2,CEILING($F$1*IF($Y$15*$AD$15&gt;=$I$1,1,IF($Y$15*$AD$15&gt;=$H$1,0.5,0))*(1+IF($N$15=$D$1,IF($Y$15*$AD$15&gt;=$K$1,0,IF($Y$15*$AD$15&gt;=$J$1,0,0)),0))*$B18*$D18*$E18^(W$2-1),0.01),0)</f>
        <v>0</v>
      </c>
      <c r="X18" s="39">
        <f>IF(CEILING($B18*$D18/3,1)&gt;=X$2,CEILING($F$1*IF($Y$15*$AD$15&gt;=$I$1,1,IF($Y$15*$AD$15&gt;=$H$1,0.5,0))*(1+IF($N$15=$D$1,IF($Y$15*$AD$15&gt;=$K$1,0,IF($Y$15*$AD$15&gt;=$J$1,0,0)),0))*$B18*$D18*$E18^(X$2-1),0.01),0)</f>
        <v>0</v>
      </c>
      <c r="Y18" s="39">
        <f>IF(CEILING($B18*$D18/3,1)&gt;=Y$2,CEILING($F$1*IF($Y$15*$AD$15&gt;=$I$1,1,IF($Y$15*$AD$15&gt;=$H$1,0.5,0))*(1+IF($N$15=$D$1,IF($Y$15*$AD$15&gt;=$K$1,0,IF($Y$15*$AD$15&gt;=$J$1,0,0)),0))*$B18*$D18*$E18^(Y$2-1),0.01),0)</f>
        <v>0</v>
      </c>
      <c r="Z18" s="39">
        <f>IF(CEILING($B18*$D18/3,1)&gt;=Z$2,CEILING($F$1*IF($Y$15*$AD$15&gt;=$I$1,1,IF($Y$15*$AD$15&gt;=$H$1,0.5,0))*(1+IF($N$15=$D$1,IF($Y$15*$AD$15&gt;=$K$1,0,IF($Y$15*$AD$15&gt;=$J$1,0,0)),0))*$B18*$D18*$E18^(Z$2-1),0.01),0)</f>
        <v>0</v>
      </c>
      <c r="AA18" s="39">
        <f>IF(CEILING($B18*$D18/3,1)&gt;=AA$2,CEILING($F$1*IF($Y$15*$AD$15&gt;=$I$1,1,IF($Y$15*$AD$15&gt;=$H$1,0.5,0))*(1+IF($N$15=$D$1,IF($Y$15*$AD$15&gt;=$K$1,0,IF($Y$15*$AD$15&gt;=$J$1,0,0)),0))*$B18*$D18*$E18^(AA$2-1),0.01),0)</f>
        <v>0</v>
      </c>
      <c r="AB18" s="39">
        <f>IF(CEILING($B18*$D18/3,1)&gt;=AB$2,CEILING($F$1*IF($Y$15*$AD$15&gt;=$I$1,1,IF($Y$15*$AD$15&gt;=$H$1,0.5,0))*(1+IF($N$15=$D$1,IF($Y$15*$AD$15&gt;=$K$1,0,IF($Y$15*$AD$15&gt;=$J$1,0,0)),0))*$B18*$D18*$E18^(AB$2-1),0.01),0)</f>
        <v>0</v>
      </c>
      <c r="AC18" s="39">
        <f>IF(CEILING($B18*$D18/3,1)&gt;=AC$2,CEILING($F$1*IF($Y$15*$AD$15&gt;=$I$1,1,IF($Y$15*$AD$15&gt;=$H$1,0.5,0))*(1+IF($N$15=$D$1,IF($Y$15*$AD$15&gt;=$K$1,0,IF($Y$15*$AD$15&gt;=$J$1,0,0)),0))*$B18*$D18*$E18^(AC$2-1),0.01),0)</f>
        <v>0</v>
      </c>
      <c r="AD18" s="39">
        <f>IF(CEILING($B18*$D18/3,1)&gt;=AD$2,CEILING($F$1*IF($Y$15*$AD$15&gt;=$I$1,1,IF($Y$15*$AD$15&gt;=$H$1,0.5,0))*(1+IF($N$15=$D$1,IF($Y$15*$AD$15&gt;=$K$1,0,IF($Y$15*$AD$15&gt;=$J$1,0,0)),0))*$B18*$D18*$E18^(AD$2-1),0.01),0)</f>
        <v>0</v>
      </c>
      <c r="AE18" s="39">
        <f>IF(CEILING($B18*$D18/3,1)&gt;=AE$2,CEILING($F$1*IF($Y$15*$AD$15&gt;=$I$1,1,IF($Y$15*$AD$15&gt;=$H$1,0.5,0))*(1+IF($N$15=$D$1,IF($Y$15*$AD$15&gt;=$K$1,0,IF($Y$15*$AD$15&gt;=$J$1,0,0)),0))*$B18*$D18*$E18^(AE$2-1),0.01),0)</f>
        <v>0</v>
      </c>
      <c r="AF18" s="39">
        <f>IF(CEILING($B18*$D18/3,1)&gt;=AF$2,CEILING($F$1*IF($Y$15*$AD$15&gt;=$I$1,1,IF($Y$15*$AD$15&gt;=$H$1,0.5,0))*(1+IF($N$15=$D$1,IF($Y$15*$AD$15&gt;=$K$1,0,IF($Y$15*$AD$15&gt;=$J$1,0,0)),0))*$B18*$D18*$E18^(AF$2-1),0.01),0)</f>
        <v>0</v>
      </c>
      <c r="AG18" s="39">
        <f>IF(CEILING($B18*$D18/3,1)&gt;=AG$2,CEILING($F$1*IF($Y$15*$AD$15&gt;=$I$1,1,IF($Y$15*$AD$15&gt;=$H$1,0.5,0))*(1+IF($N$15=$D$1,IF($Y$15*$AD$15&gt;=$K$1,0,IF($Y$15*$AD$15&gt;=$J$1,0,0)),0))*$B18*$D18*$E18^(AG$2-1),0.01),0)</f>
        <v>0</v>
      </c>
      <c r="AH18" s="39">
        <f>IF(CEILING($B18*$D18/3,1)&gt;=AH$2,CEILING($F$1*IF($Y$15*$AD$15&gt;=$I$1,1,IF($Y$15*$AD$15&gt;=$H$1,0.5,0))*(1+IF($N$15=$D$1,IF($Y$15*$AD$15&gt;=$K$1,0,IF($Y$15*$AD$15&gt;=$J$1,0,0)),0))*$B18*$D18*$E18^(AH$2-1),0.01),0)</f>
        <v>0</v>
      </c>
      <c r="AI18" s="40">
        <f>IF(CEILING($B18*$D18/3,1)&gt;=AI$2,CEILING($F$1*IF($Y$15*$AD$15&gt;=$I$1,1,IF($Y$15*$AD$15&gt;=$H$1,0.5,0))*(1+IF($N$15=$D$1,IF($Y$15*$AD$15&gt;=$K$1,0,IF($Y$15*$AD$15&gt;=$J$1,0,0)),0))*$B18*$D18*$E18^(AI$2-1),0.01),0)</f>
        <v>0</v>
      </c>
    </row>
    <row r="19" spans="1:35" x14ac:dyDescent="0.25">
      <c r="A19" s="58">
        <v>4</v>
      </c>
      <c r="B19" s="60">
        <v>0.85</v>
      </c>
      <c r="C19" s="16">
        <v>0</v>
      </c>
      <c r="D19" s="67">
        <f>CEILING(1+MIN(Y$15,T$15-C19-1)+MAX((T$15-C19-1-Y$15)/$M$1,0),1)</f>
        <v>10</v>
      </c>
      <c r="E19" s="63">
        <f>MAX(($G$1/($F$1*D19))^(1/(ROUNDUP(D19/3,)-1)),2/3)</f>
        <v>0.66666666666666663</v>
      </c>
      <c r="F19" s="39">
        <f>IF(CEILING($B19*$D19/3,1)&gt;=F$2,CEILING($F$1*IF($Y$15*$AD$15&gt;=$I$1,1,IF($Y$15*$AD$15&gt;=$H$1,0.5,0))*(1+IF($N$15=$D$1,IF($Y$15*$AD$15&gt;=$K$1,0,IF($Y$15*$AD$15&gt;=$J$1,0,0)),0))*$B19*$D19*$E19^(F$2-1),0.01),0)</f>
        <v>1.28</v>
      </c>
      <c r="G19" s="39">
        <f>IF(CEILING($B19*$D19/3,1)&gt;=G$2,CEILING($F$1*IF($Y$15*$AD$15&gt;=$I$1,1,IF($Y$15*$AD$15&gt;=$H$1,0.5,0))*(1+IF($N$15=$D$1,IF($Y$15*$AD$15&gt;=$K$1,0,IF($Y$15*$AD$15&gt;=$J$1,0,0)),0))*$B19*$D19*$E19^(G$2-1),0.01),0)</f>
        <v>0.85</v>
      </c>
      <c r="H19" s="39">
        <f>IF(CEILING($B19*$D19/3,1)&gt;=H$2,CEILING($F$1*IF($Y$15*$AD$15&gt;=$I$1,1,IF($Y$15*$AD$15&gt;=$H$1,0.5,0))*(1+IF($N$15=$D$1,IF($Y$15*$AD$15&gt;=$K$1,0,IF($Y$15*$AD$15&gt;=$J$1,0,0)),0))*$B19*$D19*$E19^(H$2-1),0.01),0)</f>
        <v>0.57000000000000006</v>
      </c>
      <c r="I19" s="39">
        <f>IF(CEILING($B19*$D19/3,1)&gt;=I$2,CEILING($F$1*IF($Y$15*$AD$15&gt;=$I$1,1,IF($Y$15*$AD$15&gt;=$H$1,0.5,0))*(1+IF($N$15=$D$1,IF($Y$15*$AD$15&gt;=$K$1,0,IF($Y$15*$AD$15&gt;=$J$1,0,0)),0))*$B19*$D19*$E19^(I$2-1),0.01),0)</f>
        <v>0</v>
      </c>
      <c r="J19" s="39">
        <f>IF(CEILING($B19*$D19/3,1)&gt;=J$2,CEILING($F$1*IF($Y$15*$AD$15&gt;=$I$1,1,IF($Y$15*$AD$15&gt;=$H$1,0.5,0))*(1+IF($N$15=$D$1,IF($Y$15*$AD$15&gt;=$K$1,0,IF($Y$15*$AD$15&gt;=$J$1,0,0)),0))*$B19*$D19*$E19^(J$2-1),0.01),0)</f>
        <v>0</v>
      </c>
      <c r="K19" s="39">
        <f>IF(CEILING($B19*$D19/3,1)&gt;=K$2,CEILING($F$1*IF($Y$15*$AD$15&gt;=$I$1,1,IF($Y$15*$AD$15&gt;=$H$1,0.5,0))*(1+IF($N$15=$D$1,IF($Y$15*$AD$15&gt;=$K$1,0,IF($Y$15*$AD$15&gt;=$J$1,0,0)),0))*$B19*$D19*$E19^(K$2-1),0.01),0)</f>
        <v>0</v>
      </c>
      <c r="L19" s="39">
        <f>IF(CEILING($B19*$D19/3,1)&gt;=L$2,CEILING($F$1*IF($Y$15*$AD$15&gt;=$I$1,1,IF($Y$15*$AD$15&gt;=$H$1,0.5,0))*(1+IF($N$15=$D$1,IF($Y$15*$AD$15&gt;=$K$1,0,IF($Y$15*$AD$15&gt;=$J$1,0,0)),0))*$B19*$D19*$E19^(L$2-1),0.01),0)</f>
        <v>0</v>
      </c>
      <c r="M19" s="39">
        <f>IF(CEILING($B19*$D19/3,1)&gt;=M$2,CEILING($F$1*IF($Y$15*$AD$15&gt;=$I$1,1,IF($Y$15*$AD$15&gt;=$H$1,0.5,0))*(1+IF($N$15=$D$1,IF($Y$15*$AD$15&gt;=$K$1,0,IF($Y$15*$AD$15&gt;=$J$1,0,0)),0))*$B19*$D19*$E19^(M$2-1),0.01),0)</f>
        <v>0</v>
      </c>
      <c r="N19" s="39">
        <f>IF(CEILING($B19*$D19/3,1)&gt;=N$2,CEILING($F$1*IF($Y$15*$AD$15&gt;=$I$1,1,IF($Y$15*$AD$15&gt;=$H$1,0.5,0))*(1+IF($N$15=$D$1,IF($Y$15*$AD$15&gt;=$K$1,0,IF($Y$15*$AD$15&gt;=$J$1,0,0)),0))*$B19*$D19*$E19^(N$2-1),0.01),0)</f>
        <v>0</v>
      </c>
      <c r="O19" s="39">
        <f>IF(CEILING($B19*$D19/3,1)&gt;=O$2,CEILING($F$1*IF($Y$15*$AD$15&gt;=$I$1,1,IF($Y$15*$AD$15&gt;=$H$1,0.5,0))*(1+IF($N$15=$D$1,IF($Y$15*$AD$15&gt;=$K$1,0,IF($Y$15*$AD$15&gt;=$J$1,0,0)),0))*$B19*$D19*$E19^(O$2-1),0.01),0)</f>
        <v>0</v>
      </c>
      <c r="P19" s="39">
        <f>IF(CEILING($B19*$D19/3,1)&gt;=P$2,CEILING($F$1*IF($Y$15*$AD$15&gt;=$I$1,1,IF($Y$15*$AD$15&gt;=$H$1,0.5,0))*(1+IF($N$15=$D$1,IF($Y$15*$AD$15&gt;=$K$1,0,IF($Y$15*$AD$15&gt;=$J$1,0,0)),0))*$B19*$D19*$E19^(P$2-1),0.01),0)</f>
        <v>0</v>
      </c>
      <c r="Q19" s="39">
        <f>IF(CEILING($B19*$D19/3,1)&gt;=Q$2,CEILING($F$1*IF($Y$15*$AD$15&gt;=$I$1,1,IF($Y$15*$AD$15&gt;=$H$1,0.5,0))*(1+IF($N$15=$D$1,IF($Y$15*$AD$15&gt;=$K$1,0,IF($Y$15*$AD$15&gt;=$J$1,0,0)),0))*$B19*$D19*$E19^(Q$2-1),0.01),0)</f>
        <v>0</v>
      </c>
      <c r="R19" s="39">
        <f>IF(CEILING($B19*$D19/3,1)&gt;=R$2,CEILING($F$1*IF($Y$15*$AD$15&gt;=$I$1,1,IF($Y$15*$AD$15&gt;=$H$1,0.5,0))*(1+IF($N$15=$D$1,IF($Y$15*$AD$15&gt;=$K$1,0,IF($Y$15*$AD$15&gt;=$J$1,0,0)),0))*$B19*$D19*$E19^(R$2-1),0.01),0)</f>
        <v>0</v>
      </c>
      <c r="S19" s="39">
        <f>IF(CEILING($B19*$D19/3,1)&gt;=S$2,CEILING($F$1*IF($Y$15*$AD$15&gt;=$I$1,1,IF($Y$15*$AD$15&gt;=$H$1,0.5,0))*(1+IF($N$15=$D$1,IF($Y$15*$AD$15&gt;=$K$1,0,IF($Y$15*$AD$15&gt;=$J$1,0,0)),0))*$B19*$D19*$E19^(S$2-1),0.01),0)</f>
        <v>0</v>
      </c>
      <c r="T19" s="39">
        <f>IF(CEILING($B19*$D19/3,1)&gt;=T$2,CEILING($F$1*IF($Y$15*$AD$15&gt;=$I$1,1,IF($Y$15*$AD$15&gt;=$H$1,0.5,0))*(1+IF($N$15=$D$1,IF($Y$15*$AD$15&gt;=$K$1,0,IF($Y$15*$AD$15&gt;=$J$1,0,0)),0))*$B19*$D19*$E19^(T$2-1),0.01),0)</f>
        <v>0</v>
      </c>
      <c r="U19" s="39">
        <f>IF(CEILING($B19*$D19/3,1)&gt;=U$2,CEILING($F$1*IF($Y$15*$AD$15&gt;=$I$1,1,IF($Y$15*$AD$15&gt;=$H$1,0.5,0))*(1+IF($N$15=$D$1,IF($Y$15*$AD$15&gt;=$K$1,0,IF($Y$15*$AD$15&gt;=$J$1,0,0)),0))*$B19*$D19*$E19^(U$2-1),0.01),0)</f>
        <v>0</v>
      </c>
      <c r="V19" s="39">
        <f>IF(CEILING($B19*$D19/3,1)&gt;=V$2,CEILING($F$1*IF($Y$15*$AD$15&gt;=$I$1,1,IF($Y$15*$AD$15&gt;=$H$1,0.5,0))*(1+IF($N$15=$D$1,IF($Y$15*$AD$15&gt;=$K$1,0,IF($Y$15*$AD$15&gt;=$J$1,0,0)),0))*$B19*$D19*$E19^(V$2-1),0.01),0)</f>
        <v>0</v>
      </c>
      <c r="W19" s="39">
        <f>IF(CEILING($B19*$D19/3,1)&gt;=W$2,CEILING($F$1*IF($Y$15*$AD$15&gt;=$I$1,1,IF($Y$15*$AD$15&gt;=$H$1,0.5,0))*(1+IF($N$15=$D$1,IF($Y$15*$AD$15&gt;=$K$1,0,IF($Y$15*$AD$15&gt;=$J$1,0,0)),0))*$B19*$D19*$E19^(W$2-1),0.01),0)</f>
        <v>0</v>
      </c>
      <c r="X19" s="39">
        <f>IF(CEILING($B19*$D19/3,1)&gt;=X$2,CEILING($F$1*IF($Y$15*$AD$15&gt;=$I$1,1,IF($Y$15*$AD$15&gt;=$H$1,0.5,0))*(1+IF($N$15=$D$1,IF($Y$15*$AD$15&gt;=$K$1,0,IF($Y$15*$AD$15&gt;=$J$1,0,0)),0))*$B19*$D19*$E19^(X$2-1),0.01),0)</f>
        <v>0</v>
      </c>
      <c r="Y19" s="39">
        <f>IF(CEILING($B19*$D19/3,1)&gt;=Y$2,CEILING($F$1*IF($Y$15*$AD$15&gt;=$I$1,1,IF($Y$15*$AD$15&gt;=$H$1,0.5,0))*(1+IF($N$15=$D$1,IF($Y$15*$AD$15&gt;=$K$1,0,IF($Y$15*$AD$15&gt;=$J$1,0,0)),0))*$B19*$D19*$E19^(Y$2-1),0.01),0)</f>
        <v>0</v>
      </c>
      <c r="Z19" s="39">
        <f>IF(CEILING($B19*$D19/3,1)&gt;=Z$2,CEILING($F$1*IF($Y$15*$AD$15&gt;=$I$1,1,IF($Y$15*$AD$15&gt;=$H$1,0.5,0))*(1+IF($N$15=$D$1,IF($Y$15*$AD$15&gt;=$K$1,0,IF($Y$15*$AD$15&gt;=$J$1,0,0)),0))*$B19*$D19*$E19^(Z$2-1),0.01),0)</f>
        <v>0</v>
      </c>
      <c r="AA19" s="39">
        <f>IF(CEILING($B19*$D19/3,1)&gt;=AA$2,CEILING($F$1*IF($Y$15*$AD$15&gt;=$I$1,1,IF($Y$15*$AD$15&gt;=$H$1,0.5,0))*(1+IF($N$15=$D$1,IF($Y$15*$AD$15&gt;=$K$1,0,IF($Y$15*$AD$15&gt;=$J$1,0,0)),0))*$B19*$D19*$E19^(AA$2-1),0.01),0)</f>
        <v>0</v>
      </c>
      <c r="AB19" s="39">
        <f>IF(CEILING($B19*$D19/3,1)&gt;=AB$2,CEILING($F$1*IF($Y$15*$AD$15&gt;=$I$1,1,IF($Y$15*$AD$15&gt;=$H$1,0.5,0))*(1+IF($N$15=$D$1,IF($Y$15*$AD$15&gt;=$K$1,0,IF($Y$15*$AD$15&gt;=$J$1,0,0)),0))*$B19*$D19*$E19^(AB$2-1),0.01),0)</f>
        <v>0</v>
      </c>
      <c r="AC19" s="39">
        <f>IF(CEILING($B19*$D19/3,1)&gt;=AC$2,CEILING($F$1*IF($Y$15*$AD$15&gt;=$I$1,1,IF($Y$15*$AD$15&gt;=$H$1,0.5,0))*(1+IF($N$15=$D$1,IF($Y$15*$AD$15&gt;=$K$1,0,IF($Y$15*$AD$15&gt;=$J$1,0,0)),0))*$B19*$D19*$E19^(AC$2-1),0.01),0)</f>
        <v>0</v>
      </c>
      <c r="AD19" s="39">
        <f>IF(CEILING($B19*$D19/3,1)&gt;=AD$2,CEILING($F$1*IF($Y$15*$AD$15&gt;=$I$1,1,IF($Y$15*$AD$15&gt;=$H$1,0.5,0))*(1+IF($N$15=$D$1,IF($Y$15*$AD$15&gt;=$K$1,0,IF($Y$15*$AD$15&gt;=$J$1,0,0)),0))*$B19*$D19*$E19^(AD$2-1),0.01),0)</f>
        <v>0</v>
      </c>
      <c r="AE19" s="39">
        <f>IF(CEILING($B19*$D19/3,1)&gt;=AE$2,CEILING($F$1*IF($Y$15*$AD$15&gt;=$I$1,1,IF($Y$15*$AD$15&gt;=$H$1,0.5,0))*(1+IF($N$15=$D$1,IF($Y$15*$AD$15&gt;=$K$1,0,IF($Y$15*$AD$15&gt;=$J$1,0,0)),0))*$B19*$D19*$E19^(AE$2-1),0.01),0)</f>
        <v>0</v>
      </c>
      <c r="AF19" s="39">
        <f>IF(CEILING($B19*$D19/3,1)&gt;=AF$2,CEILING($F$1*IF($Y$15*$AD$15&gt;=$I$1,1,IF($Y$15*$AD$15&gt;=$H$1,0.5,0))*(1+IF($N$15=$D$1,IF($Y$15*$AD$15&gt;=$K$1,0,IF($Y$15*$AD$15&gt;=$J$1,0,0)),0))*$B19*$D19*$E19^(AF$2-1),0.01),0)</f>
        <v>0</v>
      </c>
      <c r="AG19" s="39">
        <f>IF(CEILING($B19*$D19/3,1)&gt;=AG$2,CEILING($F$1*IF($Y$15*$AD$15&gt;=$I$1,1,IF($Y$15*$AD$15&gt;=$H$1,0.5,0))*(1+IF($N$15=$D$1,IF($Y$15*$AD$15&gt;=$K$1,0,IF($Y$15*$AD$15&gt;=$J$1,0,0)),0))*$B19*$D19*$E19^(AG$2-1),0.01),0)</f>
        <v>0</v>
      </c>
      <c r="AH19" s="39">
        <f>IF(CEILING($B19*$D19/3,1)&gt;=AH$2,CEILING($F$1*IF($Y$15*$AD$15&gt;=$I$1,1,IF($Y$15*$AD$15&gt;=$H$1,0.5,0))*(1+IF($N$15=$D$1,IF($Y$15*$AD$15&gt;=$K$1,0,IF($Y$15*$AD$15&gt;=$J$1,0,0)),0))*$B19*$D19*$E19^(AH$2-1),0.01),0)</f>
        <v>0</v>
      </c>
      <c r="AI19" s="40">
        <f>IF(CEILING($B19*$D19/3,1)&gt;=AI$2,CEILING($F$1*IF($Y$15*$AD$15&gt;=$I$1,1,IF($Y$15*$AD$15&gt;=$H$1,0.5,0))*(1+IF($N$15=$D$1,IF($Y$15*$AD$15&gt;=$K$1,0,IF($Y$15*$AD$15&gt;=$J$1,0,0)),0))*$B19*$D19*$E19^(AI$2-1),0.01),0)</f>
        <v>0</v>
      </c>
    </row>
    <row r="20" spans="1:35" x14ac:dyDescent="0.25">
      <c r="A20" s="58"/>
      <c r="B20" s="60"/>
      <c r="C20" s="6"/>
      <c r="D20" s="68"/>
      <c r="E20" s="64"/>
      <c r="F20" s="41"/>
      <c r="G20" s="41"/>
      <c r="H20" s="41"/>
      <c r="I20" s="41"/>
      <c r="J20" s="42"/>
      <c r="K20" s="42"/>
      <c r="L20" s="42"/>
      <c r="M20" s="42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3"/>
    </row>
    <row r="21" spans="1:35" x14ac:dyDescent="0.25">
      <c r="A21" s="58"/>
      <c r="B21" s="60"/>
      <c r="C21" s="6"/>
      <c r="D21" s="68"/>
      <c r="E21" s="64"/>
      <c r="F21" s="133" t="s">
        <v>11</v>
      </c>
      <c r="G21" s="134"/>
      <c r="H21" s="134"/>
      <c r="I21" s="36">
        <v>5</v>
      </c>
      <c r="J21" s="135" t="s">
        <v>3</v>
      </c>
      <c r="K21" s="135"/>
      <c r="L21" s="135"/>
      <c r="M21" s="135"/>
      <c r="N21" s="130" t="s">
        <v>5</v>
      </c>
      <c r="O21" s="130"/>
      <c r="P21" s="132" t="s">
        <v>1</v>
      </c>
      <c r="Q21" s="132"/>
      <c r="R21" s="132"/>
      <c r="S21" s="132"/>
      <c r="T21" s="15">
        <v>10</v>
      </c>
      <c r="U21" s="132" t="s">
        <v>2</v>
      </c>
      <c r="V21" s="132"/>
      <c r="W21" s="132"/>
      <c r="X21" s="132"/>
      <c r="Y21" s="15">
        <v>9</v>
      </c>
      <c r="Z21" s="132" t="s">
        <v>4</v>
      </c>
      <c r="AA21" s="132"/>
      <c r="AB21" s="132"/>
      <c r="AC21" s="132"/>
      <c r="AD21" s="15">
        <v>6</v>
      </c>
      <c r="AE21" s="37"/>
      <c r="AF21" s="37"/>
      <c r="AG21" s="37"/>
      <c r="AH21" s="37"/>
      <c r="AI21" s="38"/>
    </row>
    <row r="22" spans="1:35" x14ac:dyDescent="0.25">
      <c r="A22" s="58">
        <v>1</v>
      </c>
      <c r="B22" s="60">
        <v>1.2</v>
      </c>
      <c r="C22" s="16">
        <v>0</v>
      </c>
      <c r="D22" s="67">
        <f>CEILING(1+MIN(Y$21,T$21-C22-1)+MAX((T$21-C22-1-Y$21)/$M$1,0),1)</f>
        <v>10</v>
      </c>
      <c r="E22" s="63">
        <f>MAX(($G$1/($F$1*D22))^(1/(ROUNDUP(D22/3,)-1)),2/3)</f>
        <v>0.66666666666666663</v>
      </c>
      <c r="F22" s="39">
        <f>IF(CEILING($B22*$D22/3,1)&gt;=F$2,CEILING($F$1*IF($Y$21*$AD$21&gt;=$I$1,1,IF($Y$21*$AD$21&gt;=$H$1,0.5,0))*(1+IF($N$21=$D$1,IF($Y$21*$AD$21&gt;=$K$1,0,IF($Y$21*$AD$21&gt;=$J$1,0,0)),0))*$B22*$D22*$E22^(F$2-1),0.01),0)</f>
        <v>1.8</v>
      </c>
      <c r="G22" s="39">
        <f>IF(CEILING($B22*$D22/3,1)&gt;=G$2,CEILING($F$1*IF($Y$21*$AD$21&gt;=$I$1,1,IF($Y$21*$AD$21&gt;=$H$1,0.5,0))*(1+IF($N$21=$D$1,IF($Y$21*$AD$21&gt;=$K$1,0,IF($Y$21*$AD$21&gt;=$J$1,0,0)),0))*$B22*$D22*$E22^(G$2-1),0.01),0)</f>
        <v>1.2</v>
      </c>
      <c r="H22" s="39">
        <f>IF(CEILING($B22*$D22/3,1)&gt;=H$2,CEILING($F$1*IF($Y$21*$AD$21&gt;=$I$1,1,IF($Y$21*$AD$21&gt;=$H$1,0.5,0))*(1+IF($N$21=$D$1,IF($Y$21*$AD$21&gt;=$K$1,0,IF($Y$21*$AD$21&gt;=$J$1,0,0)),0))*$B22*$D22*$E22^(H$2-1),0.01),0)</f>
        <v>0.8</v>
      </c>
      <c r="I22" s="39">
        <f>IF(CEILING($B22*$D22/3,1)&gt;=I$2,CEILING($F$1*IF($Y$21*$AD$21&gt;=$I$1,1,IF($Y$21*$AD$21&gt;=$H$1,0.5,0))*(1+IF($N$21=$D$1,IF($Y$21*$AD$21&gt;=$K$1,0,IF($Y$21*$AD$21&gt;=$J$1,0,0)),0))*$B22*$D22*$E22^(I$2-1),0.01),0)</f>
        <v>0.54</v>
      </c>
      <c r="J22" s="39">
        <f>IF(CEILING($B22*$D22/3,1)&gt;=J$2,CEILING($F$1*IF($Y$21*$AD$21&gt;=$I$1,1,IF($Y$21*$AD$21&gt;=$H$1,0.5,0))*(1+IF($N$21=$D$1,IF($Y$21*$AD$21&gt;=$K$1,0,IF($Y$21*$AD$21&gt;=$J$1,0,0)),0))*$B22*$D22*$E22^(J$2-1),0.01),0)</f>
        <v>0</v>
      </c>
      <c r="K22" s="39">
        <f>IF(CEILING($B22*$D22/3,1)&gt;=K$2,CEILING($F$1*IF($Y$21*$AD$21&gt;=$I$1,1,IF($Y$21*$AD$21&gt;=$H$1,0.5,0))*(1+IF($N$21=$D$1,IF($Y$21*$AD$21&gt;=$K$1,0,IF($Y$21*$AD$21&gt;=$J$1,0,0)),0))*$B22*$D22*$E22^(K$2-1),0.01),0)</f>
        <v>0</v>
      </c>
      <c r="L22" s="39">
        <f>IF(CEILING($B22*$D22/3,1)&gt;=L$2,CEILING($F$1*IF($Y$21*$AD$21&gt;=$I$1,1,IF($Y$21*$AD$21&gt;=$H$1,0.5,0))*(1+IF($N$21=$D$1,IF($Y$21*$AD$21&gt;=$K$1,0,IF($Y$21*$AD$21&gt;=$J$1,0,0)),0))*$B22*$D22*$E22^(L$2-1),0.01),0)</f>
        <v>0</v>
      </c>
      <c r="M22" s="39">
        <f>IF(CEILING($B22*$D22/3,1)&gt;=M$2,CEILING($F$1*IF($Y$21*$AD$21&gt;=$I$1,1,IF($Y$21*$AD$21&gt;=$H$1,0.5,0))*(1+IF($N$21=$D$1,IF($Y$21*$AD$21&gt;=$K$1,0,IF($Y$21*$AD$21&gt;=$J$1,0,0)),0))*$B22*$D22*$E22^(M$2-1),0.01),0)</f>
        <v>0</v>
      </c>
      <c r="N22" s="39">
        <f>IF(CEILING($B22*$D22/3,1)&gt;=N$2,CEILING($F$1*IF($Y$21*$AD$21&gt;=$I$1,1,IF($Y$21*$AD$21&gt;=$H$1,0.5,0))*(1+IF($N$21=$D$1,IF($Y$21*$AD$21&gt;=$K$1,0,IF($Y$21*$AD$21&gt;=$J$1,0,0)),0))*$B22*$D22*$E22^(N$2-1),0.01),0)</f>
        <v>0</v>
      </c>
      <c r="O22" s="39">
        <f>IF(CEILING($B22*$D22/3,1)&gt;=O$2,CEILING($F$1*IF($Y$21*$AD$21&gt;=$I$1,1,IF($Y$21*$AD$21&gt;=$H$1,0.5,0))*(1+IF($N$21=$D$1,IF($Y$21*$AD$21&gt;=$K$1,0,IF($Y$21*$AD$21&gt;=$J$1,0,0)),0))*$B22*$D22*$E22^(O$2-1),0.01),0)</f>
        <v>0</v>
      </c>
      <c r="P22" s="39">
        <f>IF(CEILING($B22*$D22/3,1)&gt;=P$2,CEILING($F$1*IF($Y$21*$AD$21&gt;=$I$1,1,IF($Y$21*$AD$21&gt;=$H$1,0.5,0))*(1+IF($N$21=$D$1,IF($Y$21*$AD$21&gt;=$K$1,0,IF($Y$21*$AD$21&gt;=$J$1,0,0)),0))*$B22*$D22*$E22^(P$2-1),0.01),0)</f>
        <v>0</v>
      </c>
      <c r="Q22" s="39">
        <f>IF(CEILING($B22*$D22/3,1)&gt;=Q$2,CEILING($F$1*IF($Y$21*$AD$21&gt;=$I$1,1,IF($Y$21*$AD$21&gt;=$H$1,0.5,0))*(1+IF($N$21=$D$1,IF($Y$21*$AD$21&gt;=$K$1,0,IF($Y$21*$AD$21&gt;=$J$1,0,0)),0))*$B22*$D22*$E22^(Q$2-1),0.01),0)</f>
        <v>0</v>
      </c>
      <c r="R22" s="39">
        <f>IF(CEILING($B22*$D22/3,1)&gt;=R$2,CEILING($F$1*IF($Y$21*$AD$21&gt;=$I$1,1,IF($Y$21*$AD$21&gt;=$H$1,0.5,0))*(1+IF($N$21=$D$1,IF($Y$21*$AD$21&gt;=$K$1,0,IF($Y$21*$AD$21&gt;=$J$1,0,0)),0))*$B22*$D22*$E22^(R$2-1),0.01),0)</f>
        <v>0</v>
      </c>
      <c r="S22" s="39">
        <f>IF(CEILING($B22*$D22/3,1)&gt;=S$2,CEILING($F$1*IF($Y$21*$AD$21&gt;=$I$1,1,IF($Y$21*$AD$21&gt;=$H$1,0.5,0))*(1+IF($N$21=$D$1,IF($Y$21*$AD$21&gt;=$K$1,0,IF($Y$21*$AD$21&gt;=$J$1,0,0)),0))*$B22*$D22*$E22^(S$2-1),0.01),0)</f>
        <v>0</v>
      </c>
      <c r="T22" s="39">
        <f>IF(CEILING($B22*$D22/3,1)&gt;=T$2,CEILING($F$1*IF($Y$21*$AD$21&gt;=$I$1,1,IF($Y$21*$AD$21&gt;=$H$1,0.5,0))*(1+IF($N$21=$D$1,IF($Y$21*$AD$21&gt;=$K$1,0,IF($Y$21*$AD$21&gt;=$J$1,0,0)),0))*$B22*$D22*$E22^(T$2-1),0.01),0)</f>
        <v>0</v>
      </c>
      <c r="U22" s="39">
        <f>IF(CEILING($B22*$D22/3,1)&gt;=U$2,CEILING($F$1*IF($Y$21*$AD$21&gt;=$I$1,1,IF($Y$21*$AD$21&gt;=$H$1,0.5,0))*(1+IF($N$21=$D$1,IF($Y$21*$AD$21&gt;=$K$1,0,IF($Y$21*$AD$21&gt;=$J$1,0,0)),0))*$B22*$D22*$E22^(U$2-1),0.01),0)</f>
        <v>0</v>
      </c>
      <c r="V22" s="39">
        <f>IF(CEILING($B22*$D22/3,1)&gt;=V$2,CEILING($F$1*IF($Y$21*$AD$21&gt;=$I$1,1,IF($Y$21*$AD$21&gt;=$H$1,0.5,0))*(1+IF($N$21=$D$1,IF($Y$21*$AD$21&gt;=$K$1,0,IF($Y$21*$AD$21&gt;=$J$1,0,0)),0))*$B22*$D22*$E22^(V$2-1),0.01),0)</f>
        <v>0</v>
      </c>
      <c r="W22" s="39">
        <f>IF(CEILING($B22*$D22/3,1)&gt;=W$2,CEILING($F$1*IF($Y$21*$AD$21&gt;=$I$1,1,IF($Y$21*$AD$21&gt;=$H$1,0.5,0))*(1+IF($N$21=$D$1,IF($Y$21*$AD$21&gt;=$K$1,0,IF($Y$21*$AD$21&gt;=$J$1,0,0)),0))*$B22*$D22*$E22^(W$2-1),0.01),0)</f>
        <v>0</v>
      </c>
      <c r="X22" s="39">
        <f>IF(CEILING($B22*$D22/3,1)&gt;=X$2,CEILING($F$1*IF($Y$21*$AD$21&gt;=$I$1,1,IF($Y$21*$AD$21&gt;=$H$1,0.5,0))*(1+IF($N$21=$D$1,IF($Y$21*$AD$21&gt;=$K$1,0,IF($Y$21*$AD$21&gt;=$J$1,0,0)),0))*$B22*$D22*$E22^(X$2-1),0.01),0)</f>
        <v>0</v>
      </c>
      <c r="Y22" s="39">
        <f>IF(CEILING($B22*$D22/3,1)&gt;=Y$2,CEILING($F$1*IF($Y$21*$AD$21&gt;=$I$1,1,IF($Y$21*$AD$21&gt;=$H$1,0.5,0))*(1+IF($N$21=$D$1,IF($Y$21*$AD$21&gt;=$K$1,0,IF($Y$21*$AD$21&gt;=$J$1,0,0)),0))*$B22*$D22*$E22^(Y$2-1),0.01),0)</f>
        <v>0</v>
      </c>
      <c r="Z22" s="39">
        <f>IF(CEILING($B22*$D22/3,1)&gt;=Z$2,CEILING($F$1*IF($Y$21*$AD$21&gt;=$I$1,1,IF($Y$21*$AD$21&gt;=$H$1,0.5,0))*(1+IF($N$21=$D$1,IF($Y$21*$AD$21&gt;=$K$1,0,IF($Y$21*$AD$21&gt;=$J$1,0,0)),0))*$B22*$D22*$E22^(Z$2-1),0.01),0)</f>
        <v>0</v>
      </c>
      <c r="AA22" s="39">
        <f>IF(CEILING($B22*$D22/3,1)&gt;=AA$2,CEILING($F$1*IF($Y$21*$AD$21&gt;=$I$1,1,IF($Y$21*$AD$21&gt;=$H$1,0.5,0))*(1+IF($N$21=$D$1,IF($Y$21*$AD$21&gt;=$K$1,0,IF($Y$21*$AD$21&gt;=$J$1,0,0)),0))*$B22*$D22*$E22^(AA$2-1),0.01),0)</f>
        <v>0</v>
      </c>
      <c r="AB22" s="39">
        <f>IF(CEILING($B22*$D22/3,1)&gt;=AB$2,CEILING($F$1*IF($Y$21*$AD$21&gt;=$I$1,1,IF($Y$21*$AD$21&gt;=$H$1,0.5,0))*(1+IF($N$21=$D$1,IF($Y$21*$AD$21&gt;=$K$1,0,IF($Y$21*$AD$21&gt;=$J$1,0,0)),0))*$B22*$D22*$E22^(AB$2-1),0.01),0)</f>
        <v>0</v>
      </c>
      <c r="AC22" s="39">
        <f>IF(CEILING($B22*$D22/3,1)&gt;=AC$2,CEILING($F$1*IF($Y$21*$AD$21&gt;=$I$1,1,IF($Y$21*$AD$21&gt;=$H$1,0.5,0))*(1+IF($N$21=$D$1,IF($Y$21*$AD$21&gt;=$K$1,0,IF($Y$21*$AD$21&gt;=$J$1,0,0)),0))*$B22*$D22*$E22^(AC$2-1),0.01),0)</f>
        <v>0</v>
      </c>
      <c r="AD22" s="39">
        <f>IF(CEILING($B22*$D22/3,1)&gt;=AD$2,CEILING($F$1*IF($Y$21*$AD$21&gt;=$I$1,1,IF($Y$21*$AD$21&gt;=$H$1,0.5,0))*(1+IF($N$21=$D$1,IF($Y$21*$AD$21&gt;=$K$1,0,IF($Y$21*$AD$21&gt;=$J$1,0,0)),0))*$B22*$D22*$E22^(AD$2-1),0.01),0)</f>
        <v>0</v>
      </c>
      <c r="AE22" s="39">
        <f>IF(CEILING($B22*$D22/3,1)&gt;=AE$2,CEILING($F$1*IF($Y$21*$AD$21&gt;=$I$1,1,IF($Y$21*$AD$21&gt;=$H$1,0.5,0))*(1+IF($N$21=$D$1,IF($Y$21*$AD$21&gt;=$K$1,0,IF($Y$21*$AD$21&gt;=$J$1,0,0)),0))*$B22*$D22*$E22^(AE$2-1),0.01),0)</f>
        <v>0</v>
      </c>
      <c r="AF22" s="39">
        <f>IF(CEILING($B22*$D22/3,1)&gt;=AF$2,CEILING($F$1*IF($Y$21*$AD$21&gt;=$I$1,1,IF($Y$21*$AD$21&gt;=$H$1,0.5,0))*(1+IF($N$21=$D$1,IF($Y$21*$AD$21&gt;=$K$1,0,IF($Y$21*$AD$21&gt;=$J$1,0,0)),0))*$B22*$D22*$E22^(AF$2-1),0.01),0)</f>
        <v>0</v>
      </c>
      <c r="AG22" s="39">
        <f>IF(CEILING($B22*$D22/3,1)&gt;=AG$2,CEILING($F$1*IF($Y$21*$AD$21&gt;=$I$1,1,IF($Y$21*$AD$21&gt;=$H$1,0.5,0))*(1+IF($N$21=$D$1,IF($Y$21*$AD$21&gt;=$K$1,0,IF($Y$21*$AD$21&gt;=$J$1,0,0)),0))*$B22*$D22*$E22^(AG$2-1),0.01),0)</f>
        <v>0</v>
      </c>
      <c r="AH22" s="39">
        <f>IF(CEILING($B22*$D22/3,1)&gt;=AH$2,CEILING($F$1*IF($Y$21*$AD$21&gt;=$I$1,1,IF($Y$21*$AD$21&gt;=$H$1,0.5,0))*(1+IF($N$21=$D$1,IF($Y$21*$AD$21&gt;=$K$1,0,IF($Y$21*$AD$21&gt;=$J$1,0,0)),0))*$B22*$D22*$E22^(AH$2-1),0.01),0)</f>
        <v>0</v>
      </c>
      <c r="AI22" s="40">
        <f>IF(CEILING($B22*$D22/3,1)&gt;=AI$2,CEILING($F$1*IF($Y$21*$AD$21&gt;=$I$1,1,IF($Y$21*$AD$21&gt;=$H$1,0.5,0))*(1+IF($N$21=$D$1,IF($Y$21*$AD$21&gt;=$K$1,0,IF($Y$21*$AD$21&gt;=$J$1,0,0)),0))*$B22*$D22*$E22^(AI$2-1),0.01),0)</f>
        <v>0</v>
      </c>
    </row>
    <row r="23" spans="1:35" x14ac:dyDescent="0.25">
      <c r="A23" s="58">
        <v>2</v>
      </c>
      <c r="B23" s="60">
        <v>1.1000000000000001</v>
      </c>
      <c r="C23" s="16">
        <v>0</v>
      </c>
      <c r="D23" s="67">
        <f>CEILING(1+MIN(Y$21,T$21-C23-1)+MAX((T$21-C23-1-Y$21)/$M$1,0),1)</f>
        <v>10</v>
      </c>
      <c r="E23" s="63">
        <f>MAX(($G$1/($F$1*D23))^(1/(ROUNDUP(D23/3,)-1)),2/3)</f>
        <v>0.66666666666666663</v>
      </c>
      <c r="F23" s="39">
        <f>IF(CEILING($B23*$D23/3,1)&gt;=F$2,CEILING($F$1*IF($Y$21*$AD$21&gt;=$I$1,1,IF($Y$21*$AD$21&gt;=$H$1,0.5,0))*(1+IF($N$21=$D$1,IF($Y$21*$AD$21&gt;=$K$1,0,IF($Y$21*$AD$21&gt;=$J$1,0,0)),0))*$B23*$D23*$E23^(F$2-1),0.01),0)</f>
        <v>1.6500000000000001</v>
      </c>
      <c r="G23" s="39">
        <f>IF(CEILING($B23*$D23/3,1)&gt;=G$2,CEILING($F$1*IF($Y$21*$AD$21&gt;=$I$1,1,IF($Y$21*$AD$21&gt;=$H$1,0.5,0))*(1+IF($N$21=$D$1,IF($Y$21*$AD$21&gt;=$K$1,0,IF($Y$21*$AD$21&gt;=$J$1,0,0)),0))*$B23*$D23*$E23^(G$2-1),0.01),0)</f>
        <v>1.1000000000000001</v>
      </c>
      <c r="H23" s="39">
        <f>IF(CEILING($B23*$D23/3,1)&gt;=H$2,CEILING($F$1*IF($Y$21*$AD$21&gt;=$I$1,1,IF($Y$21*$AD$21&gt;=$H$1,0.5,0))*(1+IF($N$21=$D$1,IF($Y$21*$AD$21&gt;=$K$1,0,IF($Y$21*$AD$21&gt;=$J$1,0,0)),0))*$B23*$D23*$E23^(H$2-1),0.01),0)</f>
        <v>0.74</v>
      </c>
      <c r="I23" s="39">
        <f>IF(CEILING($B23*$D23/3,1)&gt;=I$2,CEILING($F$1*IF($Y$21*$AD$21&gt;=$I$1,1,IF($Y$21*$AD$21&gt;=$H$1,0.5,0))*(1+IF($N$21=$D$1,IF($Y$21*$AD$21&gt;=$K$1,0,IF($Y$21*$AD$21&gt;=$J$1,0,0)),0))*$B23*$D23*$E23^(I$2-1),0.01),0)</f>
        <v>0.49</v>
      </c>
      <c r="J23" s="39">
        <f>IF(CEILING($B23*$D23/3,1)&gt;=J$2,CEILING($F$1*IF($Y$21*$AD$21&gt;=$I$1,1,IF($Y$21*$AD$21&gt;=$H$1,0.5,0))*(1+IF($N$21=$D$1,IF($Y$21*$AD$21&gt;=$K$1,0,IF($Y$21*$AD$21&gt;=$J$1,0,0)),0))*$B23*$D23*$E23^(J$2-1),0.01),0)</f>
        <v>0</v>
      </c>
      <c r="K23" s="39">
        <f>IF(CEILING($B23*$D23/3,1)&gt;=K$2,CEILING($F$1*IF($Y$21*$AD$21&gt;=$I$1,1,IF($Y$21*$AD$21&gt;=$H$1,0.5,0))*(1+IF($N$21=$D$1,IF($Y$21*$AD$21&gt;=$K$1,0,IF($Y$21*$AD$21&gt;=$J$1,0,0)),0))*$B23*$D23*$E23^(K$2-1),0.01),0)</f>
        <v>0</v>
      </c>
      <c r="L23" s="39">
        <f>IF(CEILING($B23*$D23/3,1)&gt;=L$2,CEILING($F$1*IF($Y$21*$AD$21&gt;=$I$1,1,IF($Y$21*$AD$21&gt;=$H$1,0.5,0))*(1+IF($N$21=$D$1,IF($Y$21*$AD$21&gt;=$K$1,0,IF($Y$21*$AD$21&gt;=$J$1,0,0)),0))*$B23*$D23*$E23^(L$2-1),0.01),0)</f>
        <v>0</v>
      </c>
      <c r="M23" s="39">
        <f>IF(CEILING($B23*$D23/3,1)&gt;=M$2,CEILING($F$1*IF($Y$21*$AD$21&gt;=$I$1,1,IF($Y$21*$AD$21&gt;=$H$1,0.5,0))*(1+IF($N$21=$D$1,IF($Y$21*$AD$21&gt;=$K$1,0,IF($Y$21*$AD$21&gt;=$J$1,0,0)),0))*$B23*$D23*$E23^(M$2-1),0.01),0)</f>
        <v>0</v>
      </c>
      <c r="N23" s="39">
        <f>IF(CEILING($B23*$D23/3,1)&gt;=N$2,CEILING($F$1*IF($Y$21*$AD$21&gt;=$I$1,1,IF($Y$21*$AD$21&gt;=$H$1,0.5,0))*(1+IF($N$21=$D$1,IF($Y$21*$AD$21&gt;=$K$1,0,IF($Y$21*$AD$21&gt;=$J$1,0,0)),0))*$B23*$D23*$E23^(N$2-1),0.01),0)</f>
        <v>0</v>
      </c>
      <c r="O23" s="39">
        <f>IF(CEILING($B23*$D23/3,1)&gt;=O$2,CEILING($F$1*IF($Y$21*$AD$21&gt;=$I$1,1,IF($Y$21*$AD$21&gt;=$H$1,0.5,0))*(1+IF($N$21=$D$1,IF($Y$21*$AD$21&gt;=$K$1,0,IF($Y$21*$AD$21&gt;=$J$1,0,0)),0))*$B23*$D23*$E23^(O$2-1),0.01),0)</f>
        <v>0</v>
      </c>
      <c r="P23" s="39">
        <f>IF(CEILING($B23*$D23/3,1)&gt;=P$2,CEILING($F$1*IF($Y$21*$AD$21&gt;=$I$1,1,IF($Y$21*$AD$21&gt;=$H$1,0.5,0))*(1+IF($N$21=$D$1,IF($Y$21*$AD$21&gt;=$K$1,0,IF($Y$21*$AD$21&gt;=$J$1,0,0)),0))*$B23*$D23*$E23^(P$2-1),0.01),0)</f>
        <v>0</v>
      </c>
      <c r="Q23" s="39">
        <f>IF(CEILING($B23*$D23/3,1)&gt;=Q$2,CEILING($F$1*IF($Y$21*$AD$21&gt;=$I$1,1,IF($Y$21*$AD$21&gt;=$H$1,0.5,0))*(1+IF($N$21=$D$1,IF($Y$21*$AD$21&gt;=$K$1,0,IF($Y$21*$AD$21&gt;=$J$1,0,0)),0))*$B23*$D23*$E23^(Q$2-1),0.01),0)</f>
        <v>0</v>
      </c>
      <c r="R23" s="39">
        <f>IF(CEILING($B23*$D23/3,1)&gt;=R$2,CEILING($F$1*IF($Y$21*$AD$21&gt;=$I$1,1,IF($Y$21*$AD$21&gt;=$H$1,0.5,0))*(1+IF($N$21=$D$1,IF($Y$21*$AD$21&gt;=$K$1,0,IF($Y$21*$AD$21&gt;=$J$1,0,0)),0))*$B23*$D23*$E23^(R$2-1),0.01),0)</f>
        <v>0</v>
      </c>
      <c r="S23" s="39">
        <f>IF(CEILING($B23*$D23/3,1)&gt;=S$2,CEILING($F$1*IF($Y$21*$AD$21&gt;=$I$1,1,IF($Y$21*$AD$21&gt;=$H$1,0.5,0))*(1+IF($N$21=$D$1,IF($Y$21*$AD$21&gt;=$K$1,0,IF($Y$21*$AD$21&gt;=$J$1,0,0)),0))*$B23*$D23*$E23^(S$2-1),0.01),0)</f>
        <v>0</v>
      </c>
      <c r="T23" s="39">
        <f>IF(CEILING($B23*$D23/3,1)&gt;=T$2,CEILING($F$1*IF($Y$21*$AD$21&gt;=$I$1,1,IF($Y$21*$AD$21&gt;=$H$1,0.5,0))*(1+IF($N$21=$D$1,IF($Y$21*$AD$21&gt;=$K$1,0,IF($Y$21*$AD$21&gt;=$J$1,0,0)),0))*$B23*$D23*$E23^(T$2-1),0.01),0)</f>
        <v>0</v>
      </c>
      <c r="U23" s="39">
        <f>IF(CEILING($B23*$D23/3,1)&gt;=U$2,CEILING($F$1*IF($Y$21*$AD$21&gt;=$I$1,1,IF($Y$21*$AD$21&gt;=$H$1,0.5,0))*(1+IF($N$21=$D$1,IF($Y$21*$AD$21&gt;=$K$1,0,IF($Y$21*$AD$21&gt;=$J$1,0,0)),0))*$B23*$D23*$E23^(U$2-1),0.01),0)</f>
        <v>0</v>
      </c>
      <c r="V23" s="39">
        <f>IF(CEILING($B23*$D23/3,1)&gt;=V$2,CEILING($F$1*IF($Y$21*$AD$21&gt;=$I$1,1,IF($Y$21*$AD$21&gt;=$H$1,0.5,0))*(1+IF($N$21=$D$1,IF($Y$21*$AD$21&gt;=$K$1,0,IF($Y$21*$AD$21&gt;=$J$1,0,0)),0))*$B23*$D23*$E23^(V$2-1),0.01),0)</f>
        <v>0</v>
      </c>
      <c r="W23" s="39">
        <f>IF(CEILING($B23*$D23/3,1)&gt;=W$2,CEILING($F$1*IF($Y$21*$AD$21&gt;=$I$1,1,IF($Y$21*$AD$21&gt;=$H$1,0.5,0))*(1+IF($N$21=$D$1,IF($Y$21*$AD$21&gt;=$K$1,0,IF($Y$21*$AD$21&gt;=$J$1,0,0)),0))*$B23*$D23*$E23^(W$2-1),0.01),0)</f>
        <v>0</v>
      </c>
      <c r="X23" s="39">
        <f>IF(CEILING($B23*$D23/3,1)&gt;=X$2,CEILING($F$1*IF($Y$21*$AD$21&gt;=$I$1,1,IF($Y$21*$AD$21&gt;=$H$1,0.5,0))*(1+IF($N$21=$D$1,IF($Y$21*$AD$21&gt;=$K$1,0,IF($Y$21*$AD$21&gt;=$J$1,0,0)),0))*$B23*$D23*$E23^(X$2-1),0.01),0)</f>
        <v>0</v>
      </c>
      <c r="Y23" s="39">
        <f>IF(CEILING($B23*$D23/3,1)&gt;=Y$2,CEILING($F$1*IF($Y$21*$AD$21&gt;=$I$1,1,IF($Y$21*$AD$21&gt;=$H$1,0.5,0))*(1+IF($N$21=$D$1,IF($Y$21*$AD$21&gt;=$K$1,0,IF($Y$21*$AD$21&gt;=$J$1,0,0)),0))*$B23*$D23*$E23^(Y$2-1),0.01),0)</f>
        <v>0</v>
      </c>
      <c r="Z23" s="39">
        <f>IF(CEILING($B23*$D23/3,1)&gt;=Z$2,CEILING($F$1*IF($Y$21*$AD$21&gt;=$I$1,1,IF($Y$21*$AD$21&gt;=$H$1,0.5,0))*(1+IF($N$21=$D$1,IF($Y$21*$AD$21&gt;=$K$1,0,IF($Y$21*$AD$21&gt;=$J$1,0,0)),0))*$B23*$D23*$E23^(Z$2-1),0.01),0)</f>
        <v>0</v>
      </c>
      <c r="AA23" s="39">
        <f>IF(CEILING($B23*$D23/3,1)&gt;=AA$2,CEILING($F$1*IF($Y$21*$AD$21&gt;=$I$1,1,IF($Y$21*$AD$21&gt;=$H$1,0.5,0))*(1+IF($N$21=$D$1,IF($Y$21*$AD$21&gt;=$K$1,0,IF($Y$21*$AD$21&gt;=$J$1,0,0)),0))*$B23*$D23*$E23^(AA$2-1),0.01),0)</f>
        <v>0</v>
      </c>
      <c r="AB23" s="39">
        <f>IF(CEILING($B23*$D23/3,1)&gt;=AB$2,CEILING($F$1*IF($Y$21*$AD$21&gt;=$I$1,1,IF($Y$21*$AD$21&gt;=$H$1,0.5,0))*(1+IF($N$21=$D$1,IF($Y$21*$AD$21&gt;=$K$1,0,IF($Y$21*$AD$21&gt;=$J$1,0,0)),0))*$B23*$D23*$E23^(AB$2-1),0.01),0)</f>
        <v>0</v>
      </c>
      <c r="AC23" s="39">
        <f>IF(CEILING($B23*$D23/3,1)&gt;=AC$2,CEILING($F$1*IF($Y$21*$AD$21&gt;=$I$1,1,IF($Y$21*$AD$21&gt;=$H$1,0.5,0))*(1+IF($N$21=$D$1,IF($Y$21*$AD$21&gt;=$K$1,0,IF($Y$21*$AD$21&gt;=$J$1,0,0)),0))*$B23*$D23*$E23^(AC$2-1),0.01),0)</f>
        <v>0</v>
      </c>
      <c r="AD23" s="39">
        <f>IF(CEILING($B23*$D23/3,1)&gt;=AD$2,CEILING($F$1*IF($Y$21*$AD$21&gt;=$I$1,1,IF($Y$21*$AD$21&gt;=$H$1,0.5,0))*(1+IF($N$21=$D$1,IF($Y$21*$AD$21&gt;=$K$1,0,IF($Y$21*$AD$21&gt;=$J$1,0,0)),0))*$B23*$D23*$E23^(AD$2-1),0.01),0)</f>
        <v>0</v>
      </c>
      <c r="AE23" s="39">
        <f>IF(CEILING($B23*$D23/3,1)&gt;=AE$2,CEILING($F$1*IF($Y$21*$AD$21&gt;=$I$1,1,IF($Y$21*$AD$21&gt;=$H$1,0.5,0))*(1+IF($N$21=$D$1,IF($Y$21*$AD$21&gt;=$K$1,0,IF($Y$21*$AD$21&gt;=$J$1,0,0)),0))*$B23*$D23*$E23^(AE$2-1),0.01),0)</f>
        <v>0</v>
      </c>
      <c r="AF23" s="39">
        <f>IF(CEILING($B23*$D23/3,1)&gt;=AF$2,CEILING($F$1*IF($Y$21*$AD$21&gt;=$I$1,1,IF($Y$21*$AD$21&gt;=$H$1,0.5,0))*(1+IF($N$21=$D$1,IF($Y$21*$AD$21&gt;=$K$1,0,IF($Y$21*$AD$21&gt;=$J$1,0,0)),0))*$B23*$D23*$E23^(AF$2-1),0.01),0)</f>
        <v>0</v>
      </c>
      <c r="AG23" s="39">
        <f>IF(CEILING($B23*$D23/3,1)&gt;=AG$2,CEILING($F$1*IF($Y$21*$AD$21&gt;=$I$1,1,IF($Y$21*$AD$21&gt;=$H$1,0.5,0))*(1+IF($N$21=$D$1,IF($Y$21*$AD$21&gt;=$K$1,0,IF($Y$21*$AD$21&gt;=$J$1,0,0)),0))*$B23*$D23*$E23^(AG$2-1),0.01),0)</f>
        <v>0</v>
      </c>
      <c r="AH23" s="39">
        <f>IF(CEILING($B23*$D23/3,1)&gt;=AH$2,CEILING($F$1*IF($Y$21*$AD$21&gt;=$I$1,1,IF($Y$21*$AD$21&gt;=$H$1,0.5,0))*(1+IF($N$21=$D$1,IF($Y$21*$AD$21&gt;=$K$1,0,IF($Y$21*$AD$21&gt;=$J$1,0,0)),0))*$B23*$D23*$E23^(AH$2-1),0.01),0)</f>
        <v>0</v>
      </c>
      <c r="AI23" s="40">
        <f>IF(CEILING($B23*$D23/3,1)&gt;=AI$2,CEILING($F$1*IF($Y$21*$AD$21&gt;=$I$1,1,IF($Y$21*$AD$21&gt;=$H$1,0.5,0))*(1+IF($N$21=$D$1,IF($Y$21*$AD$21&gt;=$K$1,0,IF($Y$21*$AD$21&gt;=$J$1,0,0)),0))*$B23*$D23*$E23^(AI$2-1),0.01),0)</f>
        <v>0</v>
      </c>
    </row>
    <row r="24" spans="1:35" x14ac:dyDescent="0.25">
      <c r="A24" s="58">
        <v>3</v>
      </c>
      <c r="B24" s="60">
        <v>1</v>
      </c>
      <c r="C24" s="16">
        <v>0</v>
      </c>
      <c r="D24" s="67">
        <f>CEILING(1+MIN(Y$21,T$21-C24-1)+MAX((T$21-C24-1-Y$21)/$M$1,0),1)</f>
        <v>10</v>
      </c>
      <c r="E24" s="63">
        <f>MAX(($G$1/($F$1*D24))^(1/(ROUNDUP(D24/3,)-1)),2/3)</f>
        <v>0.66666666666666663</v>
      </c>
      <c r="F24" s="39">
        <f>IF(CEILING($B24*$D24/3,1)&gt;=F$2,CEILING($F$1*IF($Y$21*$AD$21&gt;=$I$1,1,IF($Y$21*$AD$21&gt;=$H$1,0.5,0))*(1+IF($N$21=$D$1,IF($Y$21*$AD$21&gt;=$K$1,0,IF($Y$21*$AD$21&gt;=$J$1,0,0)),0))*$B24*$D24*$E24^(F$2-1),0.01),0)</f>
        <v>1.5</v>
      </c>
      <c r="G24" s="39">
        <f>IF(CEILING($B24*$D24/3,1)&gt;=G$2,CEILING($F$1*IF($Y$21*$AD$21&gt;=$I$1,1,IF($Y$21*$AD$21&gt;=$H$1,0.5,0))*(1+IF($N$21=$D$1,IF($Y$21*$AD$21&gt;=$K$1,0,IF($Y$21*$AD$21&gt;=$J$1,0,0)),0))*$B24*$D24*$E24^(G$2-1),0.01),0)</f>
        <v>1</v>
      </c>
      <c r="H24" s="39">
        <f>IF(CEILING($B24*$D24/3,1)&gt;=H$2,CEILING($F$1*IF($Y$21*$AD$21&gt;=$I$1,1,IF($Y$21*$AD$21&gt;=$H$1,0.5,0))*(1+IF($N$21=$D$1,IF($Y$21*$AD$21&gt;=$K$1,0,IF($Y$21*$AD$21&gt;=$J$1,0,0)),0))*$B24*$D24*$E24^(H$2-1),0.01),0)</f>
        <v>0.67</v>
      </c>
      <c r="I24" s="39">
        <f>IF(CEILING($B24*$D24/3,1)&gt;=I$2,CEILING($F$1*IF($Y$21*$AD$21&gt;=$I$1,1,IF($Y$21*$AD$21&gt;=$H$1,0.5,0))*(1+IF($N$21=$D$1,IF($Y$21*$AD$21&gt;=$K$1,0,IF($Y$21*$AD$21&gt;=$J$1,0,0)),0))*$B24*$D24*$E24^(I$2-1),0.01),0)</f>
        <v>0.45</v>
      </c>
      <c r="J24" s="39">
        <f>IF(CEILING($B24*$D24/3,1)&gt;=J$2,CEILING($F$1*IF($Y$21*$AD$21&gt;=$I$1,1,IF($Y$21*$AD$21&gt;=$H$1,0.5,0))*(1+IF($N$21=$D$1,IF($Y$21*$AD$21&gt;=$K$1,0,IF($Y$21*$AD$21&gt;=$J$1,0,0)),0))*$B24*$D24*$E24^(J$2-1),0.01),0)</f>
        <v>0</v>
      </c>
      <c r="K24" s="39">
        <f>IF(CEILING($B24*$D24/3,1)&gt;=K$2,CEILING($F$1*IF($Y$21*$AD$21&gt;=$I$1,1,IF($Y$21*$AD$21&gt;=$H$1,0.5,0))*(1+IF($N$21=$D$1,IF($Y$21*$AD$21&gt;=$K$1,0,IF($Y$21*$AD$21&gt;=$J$1,0,0)),0))*$B24*$D24*$E24^(K$2-1),0.01),0)</f>
        <v>0</v>
      </c>
      <c r="L24" s="39">
        <f>IF(CEILING($B24*$D24/3,1)&gt;=L$2,CEILING($F$1*IF($Y$21*$AD$21&gt;=$I$1,1,IF($Y$21*$AD$21&gt;=$H$1,0.5,0))*(1+IF($N$21=$D$1,IF($Y$21*$AD$21&gt;=$K$1,0,IF($Y$21*$AD$21&gt;=$J$1,0,0)),0))*$B24*$D24*$E24^(L$2-1),0.01),0)</f>
        <v>0</v>
      </c>
      <c r="M24" s="39">
        <f>IF(CEILING($B24*$D24/3,1)&gt;=M$2,CEILING($F$1*IF($Y$21*$AD$21&gt;=$I$1,1,IF($Y$21*$AD$21&gt;=$H$1,0.5,0))*(1+IF($N$21=$D$1,IF($Y$21*$AD$21&gt;=$K$1,0,IF($Y$21*$AD$21&gt;=$J$1,0,0)),0))*$B24*$D24*$E24^(M$2-1),0.01),0)</f>
        <v>0</v>
      </c>
      <c r="N24" s="39">
        <f>IF(CEILING($B24*$D24/3,1)&gt;=N$2,CEILING($F$1*IF($Y$21*$AD$21&gt;=$I$1,1,IF($Y$21*$AD$21&gt;=$H$1,0.5,0))*(1+IF($N$21=$D$1,IF($Y$21*$AD$21&gt;=$K$1,0,IF($Y$21*$AD$21&gt;=$J$1,0,0)),0))*$B24*$D24*$E24^(N$2-1),0.01),0)</f>
        <v>0</v>
      </c>
      <c r="O24" s="39">
        <f>IF(CEILING($B24*$D24/3,1)&gt;=O$2,CEILING($F$1*IF($Y$21*$AD$21&gt;=$I$1,1,IF($Y$21*$AD$21&gt;=$H$1,0.5,0))*(1+IF($N$21=$D$1,IF($Y$21*$AD$21&gt;=$K$1,0,IF($Y$21*$AD$21&gt;=$J$1,0,0)),0))*$B24*$D24*$E24^(O$2-1),0.01),0)</f>
        <v>0</v>
      </c>
      <c r="P24" s="39">
        <f>IF(CEILING($B24*$D24/3,1)&gt;=P$2,CEILING($F$1*IF($Y$21*$AD$21&gt;=$I$1,1,IF($Y$21*$AD$21&gt;=$H$1,0.5,0))*(1+IF($N$21=$D$1,IF($Y$21*$AD$21&gt;=$K$1,0,IF($Y$21*$AD$21&gt;=$J$1,0,0)),0))*$B24*$D24*$E24^(P$2-1),0.01),0)</f>
        <v>0</v>
      </c>
      <c r="Q24" s="39">
        <f>IF(CEILING($B24*$D24/3,1)&gt;=Q$2,CEILING($F$1*IF($Y$21*$AD$21&gt;=$I$1,1,IF($Y$21*$AD$21&gt;=$H$1,0.5,0))*(1+IF($N$21=$D$1,IF($Y$21*$AD$21&gt;=$K$1,0,IF($Y$21*$AD$21&gt;=$J$1,0,0)),0))*$B24*$D24*$E24^(Q$2-1),0.01),0)</f>
        <v>0</v>
      </c>
      <c r="R24" s="39">
        <f>IF(CEILING($B24*$D24/3,1)&gt;=R$2,CEILING($F$1*IF($Y$21*$AD$21&gt;=$I$1,1,IF($Y$21*$AD$21&gt;=$H$1,0.5,0))*(1+IF($N$21=$D$1,IF($Y$21*$AD$21&gt;=$K$1,0,IF($Y$21*$AD$21&gt;=$J$1,0,0)),0))*$B24*$D24*$E24^(R$2-1),0.01),0)</f>
        <v>0</v>
      </c>
      <c r="S24" s="39">
        <f>IF(CEILING($B24*$D24/3,1)&gt;=S$2,CEILING($F$1*IF($Y$21*$AD$21&gt;=$I$1,1,IF($Y$21*$AD$21&gt;=$H$1,0.5,0))*(1+IF($N$21=$D$1,IF($Y$21*$AD$21&gt;=$K$1,0,IF($Y$21*$AD$21&gt;=$J$1,0,0)),0))*$B24*$D24*$E24^(S$2-1),0.01),0)</f>
        <v>0</v>
      </c>
      <c r="T24" s="39">
        <f>IF(CEILING($B24*$D24/3,1)&gt;=T$2,CEILING($F$1*IF($Y$21*$AD$21&gt;=$I$1,1,IF($Y$21*$AD$21&gt;=$H$1,0.5,0))*(1+IF($N$21=$D$1,IF($Y$21*$AD$21&gt;=$K$1,0,IF($Y$21*$AD$21&gt;=$J$1,0,0)),0))*$B24*$D24*$E24^(T$2-1),0.01),0)</f>
        <v>0</v>
      </c>
      <c r="U24" s="39">
        <f>IF(CEILING($B24*$D24/3,1)&gt;=U$2,CEILING($F$1*IF($Y$21*$AD$21&gt;=$I$1,1,IF($Y$21*$AD$21&gt;=$H$1,0.5,0))*(1+IF($N$21=$D$1,IF($Y$21*$AD$21&gt;=$K$1,0,IF($Y$21*$AD$21&gt;=$J$1,0,0)),0))*$B24*$D24*$E24^(U$2-1),0.01),0)</f>
        <v>0</v>
      </c>
      <c r="V24" s="39">
        <f>IF(CEILING($B24*$D24/3,1)&gt;=V$2,CEILING($F$1*IF($Y$21*$AD$21&gt;=$I$1,1,IF($Y$21*$AD$21&gt;=$H$1,0.5,0))*(1+IF($N$21=$D$1,IF($Y$21*$AD$21&gt;=$K$1,0,IF($Y$21*$AD$21&gt;=$J$1,0,0)),0))*$B24*$D24*$E24^(V$2-1),0.01),0)</f>
        <v>0</v>
      </c>
      <c r="W24" s="39">
        <f>IF(CEILING($B24*$D24/3,1)&gt;=W$2,CEILING($F$1*IF($Y$21*$AD$21&gt;=$I$1,1,IF($Y$21*$AD$21&gt;=$H$1,0.5,0))*(1+IF($N$21=$D$1,IF($Y$21*$AD$21&gt;=$K$1,0,IF($Y$21*$AD$21&gt;=$J$1,0,0)),0))*$B24*$D24*$E24^(W$2-1),0.01),0)</f>
        <v>0</v>
      </c>
      <c r="X24" s="39">
        <f>IF(CEILING($B24*$D24/3,1)&gt;=X$2,CEILING($F$1*IF($Y$21*$AD$21&gt;=$I$1,1,IF($Y$21*$AD$21&gt;=$H$1,0.5,0))*(1+IF($N$21=$D$1,IF($Y$21*$AD$21&gt;=$K$1,0,IF($Y$21*$AD$21&gt;=$J$1,0,0)),0))*$B24*$D24*$E24^(X$2-1),0.01),0)</f>
        <v>0</v>
      </c>
      <c r="Y24" s="39">
        <f>IF(CEILING($B24*$D24/3,1)&gt;=Y$2,CEILING($F$1*IF($Y$21*$AD$21&gt;=$I$1,1,IF($Y$21*$AD$21&gt;=$H$1,0.5,0))*(1+IF($N$21=$D$1,IF($Y$21*$AD$21&gt;=$K$1,0,IF($Y$21*$AD$21&gt;=$J$1,0,0)),0))*$B24*$D24*$E24^(Y$2-1),0.01),0)</f>
        <v>0</v>
      </c>
      <c r="Z24" s="39">
        <f>IF(CEILING($B24*$D24/3,1)&gt;=Z$2,CEILING($F$1*IF($Y$21*$AD$21&gt;=$I$1,1,IF($Y$21*$AD$21&gt;=$H$1,0.5,0))*(1+IF($N$21=$D$1,IF($Y$21*$AD$21&gt;=$K$1,0,IF($Y$21*$AD$21&gt;=$J$1,0,0)),0))*$B24*$D24*$E24^(Z$2-1),0.01),0)</f>
        <v>0</v>
      </c>
      <c r="AA24" s="39">
        <f>IF(CEILING($B24*$D24/3,1)&gt;=AA$2,CEILING($F$1*IF($Y$21*$AD$21&gt;=$I$1,1,IF($Y$21*$AD$21&gt;=$H$1,0.5,0))*(1+IF($N$21=$D$1,IF($Y$21*$AD$21&gt;=$K$1,0,IF($Y$21*$AD$21&gt;=$J$1,0,0)),0))*$B24*$D24*$E24^(AA$2-1),0.01),0)</f>
        <v>0</v>
      </c>
      <c r="AB24" s="39">
        <f>IF(CEILING($B24*$D24/3,1)&gt;=AB$2,CEILING($F$1*IF($Y$21*$AD$21&gt;=$I$1,1,IF($Y$21*$AD$21&gt;=$H$1,0.5,0))*(1+IF($N$21=$D$1,IF($Y$21*$AD$21&gt;=$K$1,0,IF($Y$21*$AD$21&gt;=$J$1,0,0)),0))*$B24*$D24*$E24^(AB$2-1),0.01),0)</f>
        <v>0</v>
      </c>
      <c r="AC24" s="39">
        <f>IF(CEILING($B24*$D24/3,1)&gt;=AC$2,CEILING($F$1*IF($Y$21*$AD$21&gt;=$I$1,1,IF($Y$21*$AD$21&gt;=$H$1,0.5,0))*(1+IF($N$21=$D$1,IF($Y$21*$AD$21&gt;=$K$1,0,IF($Y$21*$AD$21&gt;=$J$1,0,0)),0))*$B24*$D24*$E24^(AC$2-1),0.01),0)</f>
        <v>0</v>
      </c>
      <c r="AD24" s="39">
        <f>IF(CEILING($B24*$D24/3,1)&gt;=AD$2,CEILING($F$1*IF($Y$21*$AD$21&gt;=$I$1,1,IF($Y$21*$AD$21&gt;=$H$1,0.5,0))*(1+IF($N$21=$D$1,IF($Y$21*$AD$21&gt;=$K$1,0,IF($Y$21*$AD$21&gt;=$J$1,0,0)),0))*$B24*$D24*$E24^(AD$2-1),0.01),0)</f>
        <v>0</v>
      </c>
      <c r="AE24" s="39">
        <f>IF(CEILING($B24*$D24/3,1)&gt;=AE$2,CEILING($F$1*IF($Y$21*$AD$21&gt;=$I$1,1,IF($Y$21*$AD$21&gt;=$H$1,0.5,0))*(1+IF($N$21=$D$1,IF($Y$21*$AD$21&gt;=$K$1,0,IF($Y$21*$AD$21&gt;=$J$1,0,0)),0))*$B24*$D24*$E24^(AE$2-1),0.01),0)</f>
        <v>0</v>
      </c>
      <c r="AF24" s="39">
        <f>IF(CEILING($B24*$D24/3,1)&gt;=AF$2,CEILING($F$1*IF($Y$21*$AD$21&gt;=$I$1,1,IF($Y$21*$AD$21&gt;=$H$1,0.5,0))*(1+IF($N$21=$D$1,IF($Y$21*$AD$21&gt;=$K$1,0,IF($Y$21*$AD$21&gt;=$J$1,0,0)),0))*$B24*$D24*$E24^(AF$2-1),0.01),0)</f>
        <v>0</v>
      </c>
      <c r="AG24" s="39">
        <f>IF(CEILING($B24*$D24/3,1)&gt;=AG$2,CEILING($F$1*IF($Y$21*$AD$21&gt;=$I$1,1,IF($Y$21*$AD$21&gt;=$H$1,0.5,0))*(1+IF($N$21=$D$1,IF($Y$21*$AD$21&gt;=$K$1,0,IF($Y$21*$AD$21&gt;=$J$1,0,0)),0))*$B24*$D24*$E24^(AG$2-1),0.01),0)</f>
        <v>0</v>
      </c>
      <c r="AH24" s="39">
        <f>IF(CEILING($B24*$D24/3,1)&gt;=AH$2,CEILING($F$1*IF($Y$21*$AD$21&gt;=$I$1,1,IF($Y$21*$AD$21&gt;=$H$1,0.5,0))*(1+IF($N$21=$D$1,IF($Y$21*$AD$21&gt;=$K$1,0,IF($Y$21*$AD$21&gt;=$J$1,0,0)),0))*$B24*$D24*$E24^(AH$2-1),0.01),0)</f>
        <v>0</v>
      </c>
      <c r="AI24" s="40">
        <f>IF(CEILING($B24*$D24/3,1)&gt;=AI$2,CEILING($F$1*IF($Y$21*$AD$21&gt;=$I$1,1,IF($Y$21*$AD$21&gt;=$H$1,0.5,0))*(1+IF($N$21=$D$1,IF($Y$21*$AD$21&gt;=$K$1,0,IF($Y$21*$AD$21&gt;=$J$1,0,0)),0))*$B24*$D24*$E24^(AI$2-1),0.01),0)</f>
        <v>0</v>
      </c>
    </row>
    <row r="25" spans="1:35" x14ac:dyDescent="0.25">
      <c r="A25" s="58">
        <v>4</v>
      </c>
      <c r="B25" s="60">
        <v>0.9</v>
      </c>
      <c r="C25" s="16">
        <v>0</v>
      </c>
      <c r="D25" s="67">
        <f>CEILING(1+MIN(Y$21,T$21-C25-1)+MAX((T$21-C25-1-Y$21)/$M$1,0),1)</f>
        <v>10</v>
      </c>
      <c r="E25" s="63">
        <f>MAX(($G$1/($F$1*D25))^(1/(ROUNDUP(D25/3,)-1)),2/3)</f>
        <v>0.66666666666666663</v>
      </c>
      <c r="F25" s="39">
        <f>IF(CEILING($B25*$D25/3,1)&gt;=F$2,CEILING($F$1*IF($Y$21*$AD$21&gt;=$I$1,1,IF($Y$21*$AD$21&gt;=$H$1,0.5,0))*(1+IF($N$21=$D$1,IF($Y$21*$AD$21&gt;=$K$1,0,IF($Y$21*$AD$21&gt;=$J$1,0,0)),0))*$B25*$D25*$E25^(F$2-1),0.01),0)</f>
        <v>1.35</v>
      </c>
      <c r="G25" s="39">
        <f>IF(CEILING($B25*$D25/3,1)&gt;=G$2,CEILING($F$1*IF($Y$21*$AD$21&gt;=$I$1,1,IF($Y$21*$AD$21&gt;=$H$1,0.5,0))*(1+IF($N$21=$D$1,IF($Y$21*$AD$21&gt;=$K$1,0,IF($Y$21*$AD$21&gt;=$J$1,0,0)),0))*$B25*$D25*$E25^(G$2-1),0.01),0)</f>
        <v>0.9</v>
      </c>
      <c r="H25" s="39">
        <f>IF(CEILING($B25*$D25/3,1)&gt;=H$2,CEILING($F$1*IF($Y$21*$AD$21&gt;=$I$1,1,IF($Y$21*$AD$21&gt;=$H$1,0.5,0))*(1+IF($N$21=$D$1,IF($Y$21*$AD$21&gt;=$K$1,0,IF($Y$21*$AD$21&gt;=$J$1,0,0)),0))*$B25*$D25*$E25^(H$2-1),0.01),0)</f>
        <v>0.6</v>
      </c>
      <c r="I25" s="39">
        <f>IF(CEILING($B25*$D25/3,1)&gt;=I$2,CEILING($F$1*IF($Y$21*$AD$21&gt;=$I$1,1,IF($Y$21*$AD$21&gt;=$H$1,0.5,0))*(1+IF($N$21=$D$1,IF($Y$21*$AD$21&gt;=$K$1,0,IF($Y$21*$AD$21&gt;=$J$1,0,0)),0))*$B25*$D25*$E25^(I$2-1),0.01),0)</f>
        <v>0</v>
      </c>
      <c r="J25" s="39">
        <f>IF(CEILING($B25*$D25/3,1)&gt;=J$2,CEILING($F$1*IF($Y$21*$AD$21&gt;=$I$1,1,IF($Y$21*$AD$21&gt;=$H$1,0.5,0))*(1+IF($N$21=$D$1,IF($Y$21*$AD$21&gt;=$K$1,0,IF($Y$21*$AD$21&gt;=$J$1,0,0)),0))*$B25*$D25*$E25^(J$2-1),0.01),0)</f>
        <v>0</v>
      </c>
      <c r="K25" s="39">
        <f>IF(CEILING($B25*$D25/3,1)&gt;=K$2,CEILING($F$1*IF($Y$21*$AD$21&gt;=$I$1,1,IF($Y$21*$AD$21&gt;=$H$1,0.5,0))*(1+IF($N$21=$D$1,IF($Y$21*$AD$21&gt;=$K$1,0,IF($Y$21*$AD$21&gt;=$J$1,0,0)),0))*$B25*$D25*$E25^(K$2-1),0.01),0)</f>
        <v>0</v>
      </c>
      <c r="L25" s="39">
        <f>IF(CEILING($B25*$D25/3,1)&gt;=L$2,CEILING($F$1*IF($Y$21*$AD$21&gt;=$I$1,1,IF($Y$21*$AD$21&gt;=$H$1,0.5,0))*(1+IF($N$21=$D$1,IF($Y$21*$AD$21&gt;=$K$1,0,IF($Y$21*$AD$21&gt;=$J$1,0,0)),0))*$B25*$D25*$E25^(L$2-1),0.01),0)</f>
        <v>0</v>
      </c>
      <c r="M25" s="39">
        <f>IF(CEILING($B25*$D25/3,1)&gt;=M$2,CEILING($F$1*IF($Y$21*$AD$21&gt;=$I$1,1,IF($Y$21*$AD$21&gt;=$H$1,0.5,0))*(1+IF($N$21=$D$1,IF($Y$21*$AD$21&gt;=$K$1,0,IF($Y$21*$AD$21&gt;=$J$1,0,0)),0))*$B25*$D25*$E25^(M$2-1),0.01),0)</f>
        <v>0</v>
      </c>
      <c r="N25" s="39">
        <f>IF(CEILING($B25*$D25/3,1)&gt;=N$2,CEILING($F$1*IF($Y$21*$AD$21&gt;=$I$1,1,IF($Y$21*$AD$21&gt;=$H$1,0.5,0))*(1+IF($N$21=$D$1,IF($Y$21*$AD$21&gt;=$K$1,0,IF($Y$21*$AD$21&gt;=$J$1,0,0)),0))*$B25*$D25*$E25^(N$2-1),0.01),0)</f>
        <v>0</v>
      </c>
      <c r="O25" s="39">
        <f>IF(CEILING($B25*$D25/3,1)&gt;=O$2,CEILING($F$1*IF($Y$21*$AD$21&gt;=$I$1,1,IF($Y$21*$AD$21&gt;=$H$1,0.5,0))*(1+IF($N$21=$D$1,IF($Y$21*$AD$21&gt;=$K$1,0,IF($Y$21*$AD$21&gt;=$J$1,0,0)),0))*$B25*$D25*$E25^(O$2-1),0.01),0)</f>
        <v>0</v>
      </c>
      <c r="P25" s="39">
        <f>IF(CEILING($B25*$D25/3,1)&gt;=P$2,CEILING($F$1*IF($Y$21*$AD$21&gt;=$I$1,1,IF($Y$21*$AD$21&gt;=$H$1,0.5,0))*(1+IF($N$21=$D$1,IF($Y$21*$AD$21&gt;=$K$1,0,IF($Y$21*$AD$21&gt;=$J$1,0,0)),0))*$B25*$D25*$E25^(P$2-1),0.01),0)</f>
        <v>0</v>
      </c>
      <c r="Q25" s="39">
        <f>IF(CEILING($B25*$D25/3,1)&gt;=Q$2,CEILING($F$1*IF($Y$21*$AD$21&gt;=$I$1,1,IF($Y$21*$AD$21&gt;=$H$1,0.5,0))*(1+IF($N$21=$D$1,IF($Y$21*$AD$21&gt;=$K$1,0,IF($Y$21*$AD$21&gt;=$J$1,0,0)),0))*$B25*$D25*$E25^(Q$2-1),0.01),0)</f>
        <v>0</v>
      </c>
      <c r="R25" s="39">
        <f>IF(CEILING($B25*$D25/3,1)&gt;=R$2,CEILING($F$1*IF($Y$21*$AD$21&gt;=$I$1,1,IF($Y$21*$AD$21&gt;=$H$1,0.5,0))*(1+IF($N$21=$D$1,IF($Y$21*$AD$21&gt;=$K$1,0,IF($Y$21*$AD$21&gt;=$J$1,0,0)),0))*$B25*$D25*$E25^(R$2-1),0.01),0)</f>
        <v>0</v>
      </c>
      <c r="S25" s="39">
        <f>IF(CEILING($B25*$D25/3,1)&gt;=S$2,CEILING($F$1*IF($Y$21*$AD$21&gt;=$I$1,1,IF($Y$21*$AD$21&gt;=$H$1,0.5,0))*(1+IF($N$21=$D$1,IF($Y$21*$AD$21&gt;=$K$1,0,IF($Y$21*$AD$21&gt;=$J$1,0,0)),0))*$B25*$D25*$E25^(S$2-1),0.01),0)</f>
        <v>0</v>
      </c>
      <c r="T25" s="39">
        <f>IF(CEILING($B25*$D25/3,1)&gt;=T$2,CEILING($F$1*IF($Y$21*$AD$21&gt;=$I$1,1,IF($Y$21*$AD$21&gt;=$H$1,0.5,0))*(1+IF($N$21=$D$1,IF($Y$21*$AD$21&gt;=$K$1,0,IF($Y$21*$AD$21&gt;=$J$1,0,0)),0))*$B25*$D25*$E25^(T$2-1),0.01),0)</f>
        <v>0</v>
      </c>
      <c r="U25" s="39">
        <f>IF(CEILING($B25*$D25/3,1)&gt;=U$2,CEILING($F$1*IF($Y$21*$AD$21&gt;=$I$1,1,IF($Y$21*$AD$21&gt;=$H$1,0.5,0))*(1+IF($N$21=$D$1,IF($Y$21*$AD$21&gt;=$K$1,0,IF($Y$21*$AD$21&gt;=$J$1,0,0)),0))*$B25*$D25*$E25^(U$2-1),0.01),0)</f>
        <v>0</v>
      </c>
      <c r="V25" s="39">
        <f>IF(CEILING($B25*$D25/3,1)&gt;=V$2,CEILING($F$1*IF($Y$21*$AD$21&gt;=$I$1,1,IF($Y$21*$AD$21&gt;=$H$1,0.5,0))*(1+IF($N$21=$D$1,IF($Y$21*$AD$21&gt;=$K$1,0,IF($Y$21*$AD$21&gt;=$J$1,0,0)),0))*$B25*$D25*$E25^(V$2-1),0.01),0)</f>
        <v>0</v>
      </c>
      <c r="W25" s="39">
        <f>IF(CEILING($B25*$D25/3,1)&gt;=W$2,CEILING($F$1*IF($Y$21*$AD$21&gt;=$I$1,1,IF($Y$21*$AD$21&gt;=$H$1,0.5,0))*(1+IF($N$21=$D$1,IF($Y$21*$AD$21&gt;=$K$1,0,IF($Y$21*$AD$21&gt;=$J$1,0,0)),0))*$B25*$D25*$E25^(W$2-1),0.01),0)</f>
        <v>0</v>
      </c>
      <c r="X25" s="39">
        <f>IF(CEILING($B25*$D25/3,1)&gt;=X$2,CEILING($F$1*IF($Y$21*$AD$21&gt;=$I$1,1,IF($Y$21*$AD$21&gt;=$H$1,0.5,0))*(1+IF($N$21=$D$1,IF($Y$21*$AD$21&gt;=$K$1,0,IF($Y$21*$AD$21&gt;=$J$1,0,0)),0))*$B25*$D25*$E25^(X$2-1),0.01),0)</f>
        <v>0</v>
      </c>
      <c r="Y25" s="39">
        <f>IF(CEILING($B25*$D25/3,1)&gt;=Y$2,CEILING($F$1*IF($Y$21*$AD$21&gt;=$I$1,1,IF($Y$21*$AD$21&gt;=$H$1,0.5,0))*(1+IF($N$21=$D$1,IF($Y$21*$AD$21&gt;=$K$1,0,IF($Y$21*$AD$21&gt;=$J$1,0,0)),0))*$B25*$D25*$E25^(Y$2-1),0.01),0)</f>
        <v>0</v>
      </c>
      <c r="Z25" s="39">
        <f>IF(CEILING($B25*$D25/3,1)&gt;=Z$2,CEILING($F$1*IF($Y$21*$AD$21&gt;=$I$1,1,IF($Y$21*$AD$21&gt;=$H$1,0.5,0))*(1+IF($N$21=$D$1,IF($Y$21*$AD$21&gt;=$K$1,0,IF($Y$21*$AD$21&gt;=$J$1,0,0)),0))*$B25*$D25*$E25^(Z$2-1),0.01),0)</f>
        <v>0</v>
      </c>
      <c r="AA25" s="39">
        <f>IF(CEILING($B25*$D25/3,1)&gt;=AA$2,CEILING($F$1*IF($Y$21*$AD$21&gt;=$I$1,1,IF($Y$21*$AD$21&gt;=$H$1,0.5,0))*(1+IF($N$21=$D$1,IF($Y$21*$AD$21&gt;=$K$1,0,IF($Y$21*$AD$21&gt;=$J$1,0,0)),0))*$B25*$D25*$E25^(AA$2-1),0.01),0)</f>
        <v>0</v>
      </c>
      <c r="AB25" s="39">
        <f>IF(CEILING($B25*$D25/3,1)&gt;=AB$2,CEILING($F$1*IF($Y$21*$AD$21&gt;=$I$1,1,IF($Y$21*$AD$21&gt;=$H$1,0.5,0))*(1+IF($N$21=$D$1,IF($Y$21*$AD$21&gt;=$K$1,0,IF($Y$21*$AD$21&gt;=$J$1,0,0)),0))*$B25*$D25*$E25^(AB$2-1),0.01),0)</f>
        <v>0</v>
      </c>
      <c r="AC25" s="39">
        <f>IF(CEILING($B25*$D25/3,1)&gt;=AC$2,CEILING($F$1*IF($Y$21*$AD$21&gt;=$I$1,1,IF($Y$21*$AD$21&gt;=$H$1,0.5,0))*(1+IF($N$21=$D$1,IF($Y$21*$AD$21&gt;=$K$1,0,IF($Y$21*$AD$21&gt;=$J$1,0,0)),0))*$B25*$D25*$E25^(AC$2-1),0.01),0)</f>
        <v>0</v>
      </c>
      <c r="AD25" s="39">
        <f>IF(CEILING($B25*$D25/3,1)&gt;=AD$2,CEILING($F$1*IF($Y$21*$AD$21&gt;=$I$1,1,IF($Y$21*$AD$21&gt;=$H$1,0.5,0))*(1+IF($N$21=$D$1,IF($Y$21*$AD$21&gt;=$K$1,0,IF($Y$21*$AD$21&gt;=$J$1,0,0)),0))*$B25*$D25*$E25^(AD$2-1),0.01),0)</f>
        <v>0</v>
      </c>
      <c r="AE25" s="39">
        <f>IF(CEILING($B25*$D25/3,1)&gt;=AE$2,CEILING($F$1*IF($Y$21*$AD$21&gt;=$I$1,1,IF($Y$21*$AD$21&gt;=$H$1,0.5,0))*(1+IF($N$21=$D$1,IF($Y$21*$AD$21&gt;=$K$1,0,IF($Y$21*$AD$21&gt;=$J$1,0,0)),0))*$B25*$D25*$E25^(AE$2-1),0.01),0)</f>
        <v>0</v>
      </c>
      <c r="AF25" s="39">
        <f>IF(CEILING($B25*$D25/3,1)&gt;=AF$2,CEILING($F$1*IF($Y$21*$AD$21&gt;=$I$1,1,IF($Y$21*$AD$21&gt;=$H$1,0.5,0))*(1+IF($N$21=$D$1,IF($Y$21*$AD$21&gt;=$K$1,0,IF($Y$21*$AD$21&gt;=$J$1,0,0)),0))*$B25*$D25*$E25^(AF$2-1),0.01),0)</f>
        <v>0</v>
      </c>
      <c r="AG25" s="39">
        <f>IF(CEILING($B25*$D25/3,1)&gt;=AG$2,CEILING($F$1*IF($Y$21*$AD$21&gt;=$I$1,1,IF($Y$21*$AD$21&gt;=$H$1,0.5,0))*(1+IF($N$21=$D$1,IF($Y$21*$AD$21&gt;=$K$1,0,IF($Y$21*$AD$21&gt;=$J$1,0,0)),0))*$B25*$D25*$E25^(AG$2-1),0.01),0)</f>
        <v>0</v>
      </c>
      <c r="AH25" s="39">
        <f>IF(CEILING($B25*$D25/3,1)&gt;=AH$2,CEILING($F$1*IF($Y$21*$AD$21&gt;=$I$1,1,IF($Y$21*$AD$21&gt;=$H$1,0.5,0))*(1+IF($N$21=$D$1,IF($Y$21*$AD$21&gt;=$K$1,0,IF($Y$21*$AD$21&gt;=$J$1,0,0)),0))*$B25*$D25*$E25^(AH$2-1),0.01),0)</f>
        <v>0</v>
      </c>
      <c r="AI25" s="40">
        <f>IF(CEILING($B25*$D25/3,1)&gt;=AI$2,CEILING($F$1*IF($Y$21*$AD$21&gt;=$I$1,1,IF($Y$21*$AD$21&gt;=$H$1,0.5,0))*(1+IF($N$21=$D$1,IF($Y$21*$AD$21&gt;=$K$1,0,IF($Y$21*$AD$21&gt;=$J$1,0,0)),0))*$B25*$D25*$E25^(AI$2-1),0.01),0)</f>
        <v>0</v>
      </c>
    </row>
    <row r="26" spans="1:35" x14ac:dyDescent="0.25">
      <c r="A26" s="59">
        <v>5</v>
      </c>
      <c r="B26" s="61">
        <v>0.8</v>
      </c>
      <c r="C26" s="17">
        <v>0</v>
      </c>
      <c r="D26" s="69">
        <f>CEILING(1+MIN(Y$21,T$21-C26-1)+MAX((T$21-C26-1-Y$21)/$M$1,0),1)</f>
        <v>10</v>
      </c>
      <c r="E26" s="65">
        <f>MAX(($G$1/($F$1*D26))^(1/(ROUNDUP(D26/3,)-1)),2/3)</f>
        <v>0.66666666666666663</v>
      </c>
      <c r="F26" s="39">
        <f>IF(CEILING($B26*$D26/3,1)&gt;=F$2,CEILING($F$1*IF($Y$21*$AD$21&gt;=$I$1,1,IF($Y$21*$AD$21&gt;=$H$1,0.5,0))*(1+IF($N$21=$D$1,IF($Y$21*$AD$21&gt;=$K$1,0,IF($Y$21*$AD$21&gt;=$J$1,0,0)),0))*$B26*$D26*$E26^(F$2-1),0.01),0)</f>
        <v>1.2</v>
      </c>
      <c r="G26" s="39">
        <f>IF(CEILING($B26*$D26/3,1)&gt;=G$2,CEILING($F$1*IF($Y$21*$AD$21&gt;=$I$1,1,IF($Y$21*$AD$21&gt;=$H$1,0.5,0))*(1+IF($N$21=$D$1,IF($Y$21*$AD$21&gt;=$K$1,0,IF($Y$21*$AD$21&gt;=$J$1,0,0)),0))*$B26*$D26*$E26^(G$2-1),0.01),0)</f>
        <v>0.8</v>
      </c>
      <c r="H26" s="39">
        <f>IF(CEILING($B26*$D26/3,1)&gt;=H$2,CEILING($F$1*IF($Y$21*$AD$21&gt;=$I$1,1,IF($Y$21*$AD$21&gt;=$H$1,0.5,0))*(1+IF($N$21=$D$1,IF($Y$21*$AD$21&gt;=$K$1,0,IF($Y$21*$AD$21&gt;=$J$1,0,0)),0))*$B26*$D26*$E26^(H$2-1),0.01),0)</f>
        <v>0.54</v>
      </c>
      <c r="I26" s="39">
        <f>IF(CEILING($B26*$D26/3,1)&gt;=I$2,CEILING($F$1*IF($Y$21*$AD$21&gt;=$I$1,1,IF($Y$21*$AD$21&gt;=$H$1,0.5,0))*(1+IF($N$21=$D$1,IF($Y$21*$AD$21&gt;=$K$1,0,IF($Y$21*$AD$21&gt;=$J$1,0,0)),0))*$B26*$D26*$E26^(I$2-1),0.01),0)</f>
        <v>0</v>
      </c>
      <c r="J26" s="39">
        <f>IF(CEILING($B26*$D26/3,1)&gt;=J$2,CEILING($F$1*IF($Y$21*$AD$21&gt;=$I$1,1,IF($Y$21*$AD$21&gt;=$H$1,0.5,0))*(1+IF($N$21=$D$1,IF($Y$21*$AD$21&gt;=$K$1,0,IF($Y$21*$AD$21&gt;=$J$1,0,0)),0))*$B26*$D26*$E26^(J$2-1),0.01),0)</f>
        <v>0</v>
      </c>
      <c r="K26" s="39">
        <f>IF(CEILING($B26*$D26/3,1)&gt;=K$2,CEILING($F$1*IF($Y$21*$AD$21&gt;=$I$1,1,IF($Y$21*$AD$21&gt;=$H$1,0.5,0))*(1+IF($N$21=$D$1,IF($Y$21*$AD$21&gt;=$K$1,0,IF($Y$21*$AD$21&gt;=$J$1,0,0)),0))*$B26*$D26*$E26^(K$2-1),0.01),0)</f>
        <v>0</v>
      </c>
      <c r="L26" s="39">
        <f>IF(CEILING($B26*$D26/3,1)&gt;=L$2,CEILING($F$1*IF($Y$21*$AD$21&gt;=$I$1,1,IF($Y$21*$AD$21&gt;=$H$1,0.5,0))*(1+IF($N$21=$D$1,IF($Y$21*$AD$21&gt;=$K$1,0,IF($Y$21*$AD$21&gt;=$J$1,0,0)),0))*$B26*$D26*$E26^(L$2-1),0.01),0)</f>
        <v>0</v>
      </c>
      <c r="M26" s="39">
        <f>IF(CEILING($B26*$D26/3,1)&gt;=M$2,CEILING($F$1*IF($Y$21*$AD$21&gt;=$I$1,1,IF($Y$21*$AD$21&gt;=$H$1,0.5,0))*(1+IF($N$21=$D$1,IF($Y$21*$AD$21&gt;=$K$1,0,IF($Y$21*$AD$21&gt;=$J$1,0,0)),0))*$B26*$D26*$E26^(M$2-1),0.01),0)</f>
        <v>0</v>
      </c>
      <c r="N26" s="39">
        <f>IF(CEILING($B26*$D26/3,1)&gt;=N$2,CEILING($F$1*IF($Y$21*$AD$21&gt;=$I$1,1,IF($Y$21*$AD$21&gt;=$H$1,0.5,0))*(1+IF($N$21=$D$1,IF($Y$21*$AD$21&gt;=$K$1,0,IF($Y$21*$AD$21&gt;=$J$1,0,0)),0))*$B26*$D26*$E26^(N$2-1),0.01),0)</f>
        <v>0</v>
      </c>
      <c r="O26" s="39">
        <f>IF(CEILING($B26*$D26/3,1)&gt;=O$2,CEILING($F$1*IF($Y$21*$AD$21&gt;=$I$1,1,IF($Y$21*$AD$21&gt;=$H$1,0.5,0))*(1+IF($N$21=$D$1,IF($Y$21*$AD$21&gt;=$K$1,0,IF($Y$21*$AD$21&gt;=$J$1,0,0)),0))*$B26*$D26*$E26^(O$2-1),0.01),0)</f>
        <v>0</v>
      </c>
      <c r="P26" s="39">
        <f>IF(CEILING($B26*$D26/3,1)&gt;=P$2,CEILING($F$1*IF($Y$21*$AD$21&gt;=$I$1,1,IF($Y$21*$AD$21&gt;=$H$1,0.5,0))*(1+IF($N$21=$D$1,IF($Y$21*$AD$21&gt;=$K$1,0,IF($Y$21*$AD$21&gt;=$J$1,0,0)),0))*$B26*$D26*$E26^(P$2-1),0.01),0)</f>
        <v>0</v>
      </c>
      <c r="Q26" s="39">
        <f>IF(CEILING($B26*$D26/3,1)&gt;=Q$2,CEILING($F$1*IF($Y$21*$AD$21&gt;=$I$1,1,IF($Y$21*$AD$21&gt;=$H$1,0.5,0))*(1+IF($N$21=$D$1,IF($Y$21*$AD$21&gt;=$K$1,0,IF($Y$21*$AD$21&gt;=$J$1,0,0)),0))*$B26*$D26*$E26^(Q$2-1),0.01),0)</f>
        <v>0</v>
      </c>
      <c r="R26" s="39">
        <f>IF(CEILING($B26*$D26/3,1)&gt;=R$2,CEILING($F$1*IF($Y$21*$AD$21&gt;=$I$1,1,IF($Y$21*$AD$21&gt;=$H$1,0.5,0))*(1+IF($N$21=$D$1,IF($Y$21*$AD$21&gt;=$K$1,0,IF($Y$21*$AD$21&gt;=$J$1,0,0)),0))*$B26*$D26*$E26^(R$2-1),0.01),0)</f>
        <v>0</v>
      </c>
      <c r="S26" s="39">
        <f>IF(CEILING($B26*$D26/3,1)&gt;=S$2,CEILING($F$1*IF($Y$21*$AD$21&gt;=$I$1,1,IF($Y$21*$AD$21&gt;=$H$1,0.5,0))*(1+IF($N$21=$D$1,IF($Y$21*$AD$21&gt;=$K$1,0,IF($Y$21*$AD$21&gt;=$J$1,0,0)),0))*$B26*$D26*$E26^(S$2-1),0.01),0)</f>
        <v>0</v>
      </c>
      <c r="T26" s="39">
        <f>IF(CEILING($B26*$D26/3,1)&gt;=T$2,CEILING($F$1*IF($Y$21*$AD$21&gt;=$I$1,1,IF($Y$21*$AD$21&gt;=$H$1,0.5,0))*(1+IF($N$21=$D$1,IF($Y$21*$AD$21&gt;=$K$1,0,IF($Y$21*$AD$21&gt;=$J$1,0,0)),0))*$B26*$D26*$E26^(T$2-1),0.01),0)</f>
        <v>0</v>
      </c>
      <c r="U26" s="39">
        <f>IF(CEILING($B26*$D26/3,1)&gt;=U$2,CEILING($F$1*IF($Y$21*$AD$21&gt;=$I$1,1,IF($Y$21*$AD$21&gt;=$H$1,0.5,0))*(1+IF($N$21=$D$1,IF($Y$21*$AD$21&gt;=$K$1,0,IF($Y$21*$AD$21&gt;=$J$1,0,0)),0))*$B26*$D26*$E26^(U$2-1),0.01),0)</f>
        <v>0</v>
      </c>
      <c r="V26" s="39">
        <f>IF(CEILING($B26*$D26/3,1)&gt;=V$2,CEILING($F$1*IF($Y$21*$AD$21&gt;=$I$1,1,IF($Y$21*$AD$21&gt;=$H$1,0.5,0))*(1+IF($N$21=$D$1,IF($Y$21*$AD$21&gt;=$K$1,0,IF($Y$21*$AD$21&gt;=$J$1,0,0)),0))*$B26*$D26*$E26^(V$2-1),0.01),0)</f>
        <v>0</v>
      </c>
      <c r="W26" s="39">
        <f>IF(CEILING($B26*$D26/3,1)&gt;=W$2,CEILING($F$1*IF($Y$21*$AD$21&gt;=$I$1,1,IF($Y$21*$AD$21&gt;=$H$1,0.5,0))*(1+IF($N$21=$D$1,IF($Y$21*$AD$21&gt;=$K$1,0,IF($Y$21*$AD$21&gt;=$J$1,0,0)),0))*$B26*$D26*$E26^(W$2-1),0.01),0)</f>
        <v>0</v>
      </c>
      <c r="X26" s="39">
        <f>IF(CEILING($B26*$D26/3,1)&gt;=X$2,CEILING($F$1*IF($Y$21*$AD$21&gt;=$I$1,1,IF($Y$21*$AD$21&gt;=$H$1,0.5,0))*(1+IF($N$21=$D$1,IF($Y$21*$AD$21&gt;=$K$1,0,IF($Y$21*$AD$21&gt;=$J$1,0,0)),0))*$B26*$D26*$E26^(X$2-1),0.01),0)</f>
        <v>0</v>
      </c>
      <c r="Y26" s="39">
        <f>IF(CEILING($B26*$D26/3,1)&gt;=Y$2,CEILING($F$1*IF($Y$21*$AD$21&gt;=$I$1,1,IF($Y$21*$AD$21&gt;=$H$1,0.5,0))*(1+IF($N$21=$D$1,IF($Y$21*$AD$21&gt;=$K$1,0,IF($Y$21*$AD$21&gt;=$J$1,0,0)),0))*$B26*$D26*$E26^(Y$2-1),0.01),0)</f>
        <v>0</v>
      </c>
      <c r="Z26" s="39">
        <f>IF(CEILING($B26*$D26/3,1)&gt;=Z$2,CEILING($F$1*IF($Y$21*$AD$21&gt;=$I$1,1,IF($Y$21*$AD$21&gt;=$H$1,0.5,0))*(1+IF($N$21=$D$1,IF($Y$21*$AD$21&gt;=$K$1,0,IF($Y$21*$AD$21&gt;=$J$1,0,0)),0))*$B26*$D26*$E26^(Z$2-1),0.01),0)</f>
        <v>0</v>
      </c>
      <c r="AA26" s="39">
        <f>IF(CEILING($B26*$D26/3,1)&gt;=AA$2,CEILING($F$1*IF($Y$21*$AD$21&gt;=$I$1,1,IF($Y$21*$AD$21&gt;=$H$1,0.5,0))*(1+IF($N$21=$D$1,IF($Y$21*$AD$21&gt;=$K$1,0,IF($Y$21*$AD$21&gt;=$J$1,0,0)),0))*$B26*$D26*$E26^(AA$2-1),0.01),0)</f>
        <v>0</v>
      </c>
      <c r="AB26" s="39">
        <f>IF(CEILING($B26*$D26/3,1)&gt;=AB$2,CEILING($F$1*IF($Y$21*$AD$21&gt;=$I$1,1,IF($Y$21*$AD$21&gt;=$H$1,0.5,0))*(1+IF($N$21=$D$1,IF($Y$21*$AD$21&gt;=$K$1,0,IF($Y$21*$AD$21&gt;=$J$1,0,0)),0))*$B26*$D26*$E26^(AB$2-1),0.01),0)</f>
        <v>0</v>
      </c>
      <c r="AC26" s="39">
        <f>IF(CEILING($B26*$D26/3,1)&gt;=AC$2,CEILING($F$1*IF($Y$21*$AD$21&gt;=$I$1,1,IF($Y$21*$AD$21&gt;=$H$1,0.5,0))*(1+IF($N$21=$D$1,IF($Y$21*$AD$21&gt;=$K$1,0,IF($Y$21*$AD$21&gt;=$J$1,0,0)),0))*$B26*$D26*$E26^(AC$2-1),0.01),0)</f>
        <v>0</v>
      </c>
      <c r="AD26" s="39">
        <f>IF(CEILING($B26*$D26/3,1)&gt;=AD$2,CEILING($F$1*IF($Y$21*$AD$21&gt;=$I$1,1,IF($Y$21*$AD$21&gt;=$H$1,0.5,0))*(1+IF($N$21=$D$1,IF($Y$21*$AD$21&gt;=$K$1,0,IF($Y$21*$AD$21&gt;=$J$1,0,0)),0))*$B26*$D26*$E26^(AD$2-1),0.01),0)</f>
        <v>0</v>
      </c>
      <c r="AE26" s="39">
        <f>IF(CEILING($B26*$D26/3,1)&gt;=AE$2,CEILING($F$1*IF($Y$21*$AD$21&gt;=$I$1,1,IF($Y$21*$AD$21&gt;=$H$1,0.5,0))*(1+IF($N$21=$D$1,IF($Y$21*$AD$21&gt;=$K$1,0,IF($Y$21*$AD$21&gt;=$J$1,0,0)),0))*$B26*$D26*$E26^(AE$2-1),0.01),0)</f>
        <v>0</v>
      </c>
      <c r="AF26" s="39">
        <f>IF(CEILING($B26*$D26/3,1)&gt;=AF$2,CEILING($F$1*IF($Y$21*$AD$21&gt;=$I$1,1,IF($Y$21*$AD$21&gt;=$H$1,0.5,0))*(1+IF($N$21=$D$1,IF($Y$21*$AD$21&gt;=$K$1,0,IF($Y$21*$AD$21&gt;=$J$1,0,0)),0))*$B26*$D26*$E26^(AF$2-1),0.01),0)</f>
        <v>0</v>
      </c>
      <c r="AG26" s="39">
        <f>IF(CEILING($B26*$D26/3,1)&gt;=AG$2,CEILING($F$1*IF($Y$21*$AD$21&gt;=$I$1,1,IF($Y$21*$AD$21&gt;=$H$1,0.5,0))*(1+IF($N$21=$D$1,IF($Y$21*$AD$21&gt;=$K$1,0,IF($Y$21*$AD$21&gt;=$J$1,0,0)),0))*$B26*$D26*$E26^(AG$2-1),0.01),0)</f>
        <v>0</v>
      </c>
      <c r="AH26" s="39">
        <f>IF(CEILING($B26*$D26/3,1)&gt;=AH$2,CEILING($F$1*IF($Y$21*$AD$21&gt;=$I$1,1,IF($Y$21*$AD$21&gt;=$H$1,0.5,0))*(1+IF($N$21=$D$1,IF($Y$21*$AD$21&gt;=$K$1,0,IF($Y$21*$AD$21&gt;=$J$1,0,0)),0))*$B26*$D26*$E26^(AH$2-1),0.01),0)</f>
        <v>0</v>
      </c>
      <c r="AI26" s="40">
        <f>IF(CEILING($B26*$D26/3,1)&gt;=AI$2,CEILING($F$1*IF($Y$21*$AD$21&gt;=$I$1,1,IF($Y$21*$AD$21&gt;=$H$1,0.5,0))*(1+IF($N$21=$D$1,IF($Y$21*$AD$21&gt;=$K$1,0,IF($Y$21*$AD$21&gt;=$J$1,0,0)),0))*$B26*$D26*$E26^(AI$2-1),0.01),0)</f>
        <v>0</v>
      </c>
    </row>
    <row r="27" spans="1:35" x14ac:dyDescent="0.25">
      <c r="A27" s="12"/>
      <c r="B27" s="9"/>
      <c r="C27" s="9"/>
      <c r="D27" s="9"/>
      <c r="E27" s="9"/>
      <c r="F27" s="44"/>
      <c r="G27" s="44"/>
      <c r="H27" s="44"/>
      <c r="I27" s="44"/>
      <c r="J27" s="45"/>
      <c r="K27" s="45"/>
      <c r="L27" s="45"/>
      <c r="M27" s="45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6"/>
    </row>
    <row r="28" spans="1:35" x14ac:dyDescent="0.25">
      <c r="A28" s="14" t="s">
        <v>14</v>
      </c>
    </row>
    <row r="29" spans="1:35" x14ac:dyDescent="0.25">
      <c r="C29" s="119" t="s">
        <v>15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4"/>
    </row>
    <row r="30" spans="1:35" x14ac:dyDescent="0.25">
      <c r="C30" s="104" t="s">
        <v>16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4"/>
    </row>
    <row r="31" spans="1:35" x14ac:dyDescent="0.25">
      <c r="C31" s="104" t="s">
        <v>20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4"/>
    </row>
    <row r="32" spans="1:35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51" spans="1:4" x14ac:dyDescent="0.25">
      <c r="A51" s="1"/>
      <c r="B51" s="1"/>
      <c r="D51" s="14"/>
    </row>
    <row r="52" spans="1:4" x14ac:dyDescent="0.25">
      <c r="C52" s="2"/>
      <c r="D52" s="14"/>
    </row>
  </sheetData>
  <sheetProtection password="C4EE" sheet="1" objects="1" scenarios="1"/>
  <mergeCells count="38">
    <mergeCell ref="C29:AH29"/>
    <mergeCell ref="C30:AH30"/>
    <mergeCell ref="C31:AH31"/>
    <mergeCell ref="N1:X1"/>
    <mergeCell ref="F21:H21"/>
    <mergeCell ref="J21:M21"/>
    <mergeCell ref="N21:O21"/>
    <mergeCell ref="P21:S21"/>
    <mergeCell ref="U21:X21"/>
    <mergeCell ref="Z21:AC21"/>
    <mergeCell ref="F15:H15"/>
    <mergeCell ref="J15:M15"/>
    <mergeCell ref="N15:O15"/>
    <mergeCell ref="P15:S15"/>
    <mergeCell ref="U15:X15"/>
    <mergeCell ref="Z15:AC15"/>
    <mergeCell ref="U3:X3"/>
    <mergeCell ref="F10:H10"/>
    <mergeCell ref="J10:M10"/>
    <mergeCell ref="N10:O10"/>
    <mergeCell ref="P10:S10"/>
    <mergeCell ref="U10:X10"/>
    <mergeCell ref="C32:AH32"/>
    <mergeCell ref="A2:B2"/>
    <mergeCell ref="A3:B3"/>
    <mergeCell ref="C2:D2"/>
    <mergeCell ref="F3:H3"/>
    <mergeCell ref="J3:M3"/>
    <mergeCell ref="N3:O3"/>
    <mergeCell ref="P3:S3"/>
    <mergeCell ref="Z10:AC10"/>
    <mergeCell ref="Z3:AC3"/>
    <mergeCell ref="F6:H6"/>
    <mergeCell ref="J6:M6"/>
    <mergeCell ref="N6:O6"/>
    <mergeCell ref="P6:S6"/>
    <mergeCell ref="U6:X6"/>
    <mergeCell ref="Z6:AC6"/>
  </mergeCells>
  <conditionalFormatting sqref="F4:AI4">
    <cfRule type="cellIs" dxfId="19" priority="5" operator="equal">
      <formula>0</formula>
    </cfRule>
  </conditionalFormatting>
  <conditionalFormatting sqref="F7:AI8">
    <cfRule type="cellIs" dxfId="18" priority="4" operator="equal">
      <formula>0</formula>
    </cfRule>
  </conditionalFormatting>
  <conditionalFormatting sqref="F11:AI13">
    <cfRule type="cellIs" dxfId="17" priority="3" operator="equal">
      <formula>0</formula>
    </cfRule>
  </conditionalFormatting>
  <conditionalFormatting sqref="F16:AI19">
    <cfRule type="cellIs" dxfId="16" priority="2" operator="equal">
      <formula>0</formula>
    </cfRule>
  </conditionalFormatting>
  <conditionalFormatting sqref="F22:AI26">
    <cfRule type="cellIs" dxfId="15" priority="1" operator="equal">
      <formula>0</formula>
    </cfRule>
  </conditionalFormatting>
  <dataValidations count="6">
    <dataValidation allowBlank="1" showInputMessage="1" showErrorMessage="1" promptTitle="Q-værdi" prompt="Andelen af MP for den næste af to placeringer." sqref="E4 E7:E8 E11:E13 E16:E19 E22:E26"/>
    <dataValidation type="whole" operator="greaterThan" allowBlank="1" showInputMessage="1" showErrorMessage="1" errorTitle="Fejl" error="Kun postive heltal" sqref="AD21 AD15 AD10 AD6 AD3 Y21 Y15 Y10 Y6 Y3">
      <formula1>0</formula1>
    </dataValidation>
    <dataValidation allowBlank="1" showInputMessage="1" showErrorMessage="1" promptTitle="&quot;dnul&quot;" prompt="Det beregnede antal deltagere" sqref="D4 D7:D8 D11:D13 D16:D19 D22:D26"/>
    <dataValidation type="whole" operator="greaterThanOrEqual" allowBlank="1" showInputMessage="1" showErrorMessage="1" errorTitle="Fejl" error="Kun postive heltal" promptTitle="Minimum" prompt="Mindst 4 deltagere" sqref="T3 T6 T10 T15 T21">
      <formula1>4</formula1>
    </dataValidation>
    <dataValidation type="list" showInputMessage="1" showErrorMessage="1" errorTitle="Oversidder" error="Kan kun være enten 0 eller 1" promptTitle="Oversidder" prompt="Kun 0 eller 1 oversidder" sqref="C4 C7:C8 C11:C13 C16:C19 C22:C26">
      <formula1>$A$1:$B$1</formula1>
    </dataValidation>
    <dataValidation type="list" showInputMessage="1" showErrorMessage="1" errorTitle="Arrangør" error="Enten Klub eller Distrikt" promptTitle="Arrangør" prompt="Kun klubber  (ikke DBf selv) skal spille mindst 54 spil." sqref="N3:O3 N6:O6 N10:O10 N15:O15 N21:O21">
      <formula1>$C$1:$D$1</formula1>
    </dataValidation>
  </dataValidations>
  <printOptions horizontalCentered="1"/>
  <pageMargins left="0.31496062992125984" right="0.31496062992125984" top="1.7322834645669292" bottom="0.74803149606299213" header="0.31496062992125984" footer="0.31496062992125984"/>
  <pageSetup paperSize="9" scale="87" orientation="landscape" horizontalDpi="4294967295" verticalDpi="4294967295" r:id="rId1"/>
  <headerFooter>
    <oddHeader>&amp;L&amp;G&amp;C&amp;20Guldpoint i miniholdturneringer&amp;RVersion 1.0</oddHeader>
    <oddFooter>&amp;CUdskrevet: 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12</vt:i4>
      </vt:variant>
    </vt:vector>
  </HeadingPairs>
  <TitlesOfParts>
    <vt:vector size="24" baseType="lpstr">
      <vt:lpstr>Enkelt-BP</vt:lpstr>
      <vt:lpstr>Enkelt-SP</vt:lpstr>
      <vt:lpstr>Enkelt-GP</vt:lpstr>
      <vt:lpstr>Par-BP</vt:lpstr>
      <vt:lpstr>Par-SP</vt:lpstr>
      <vt:lpstr>Par-GP</vt:lpstr>
      <vt:lpstr>Minihold-BP</vt:lpstr>
      <vt:lpstr>Minihold-SP</vt:lpstr>
      <vt:lpstr>Minihold-GP</vt:lpstr>
      <vt:lpstr>Hold-BP</vt:lpstr>
      <vt:lpstr>Hold-SP</vt:lpstr>
      <vt:lpstr>Hold-GP</vt:lpstr>
      <vt:lpstr>'Enkelt-BP'!Udskriftsområde</vt:lpstr>
      <vt:lpstr>'Enkelt-GP'!Udskriftsområde</vt:lpstr>
      <vt:lpstr>'Enkelt-SP'!Udskriftsområde</vt:lpstr>
      <vt:lpstr>'Hold-BP'!Udskriftsområde</vt:lpstr>
      <vt:lpstr>'Hold-GP'!Udskriftsområde</vt:lpstr>
      <vt:lpstr>'Hold-SP'!Udskriftsområde</vt:lpstr>
      <vt:lpstr>'Minihold-BP'!Udskriftsområde</vt:lpstr>
      <vt:lpstr>'Minihold-GP'!Udskriftsområde</vt:lpstr>
      <vt:lpstr>'Minihold-SP'!Udskriftsområde</vt:lpstr>
      <vt:lpstr>'Par-BP'!Udskriftsområde</vt:lpstr>
      <vt:lpstr>'Par-GP'!Udskriftsområde</vt:lpstr>
      <vt:lpstr>'Par-SP'!Udskriftsområde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MP-beregning 1.0</dc:title>
  <dc:creator>Henning Mikkelsen</dc:creator>
  <cp:lastModifiedBy>Henning Mikkelsen</cp:lastModifiedBy>
  <cp:lastPrinted>2021-08-26T00:48:39Z</cp:lastPrinted>
  <dcterms:created xsi:type="dcterms:W3CDTF">2021-02-08T01:31:51Z</dcterms:created>
  <dcterms:modified xsi:type="dcterms:W3CDTF">2022-02-15T21:28:40Z</dcterms:modified>
</cp:coreProperties>
</file>